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260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'!$3:$7</definedName>
    <definedName name="_xlnm.Print_Titles" localSheetId="13">'9.mell. '!$8:$11</definedName>
    <definedName name="_xlnm.Print_Area" localSheetId="0">'1a.mell '!$A$1:$L$52</definedName>
    <definedName name="_xlnm.Print_Area" localSheetId="1">'1b.mell '!$A$1:$I$275</definedName>
    <definedName name="_xlnm.Print_Area" localSheetId="2">'1c.mell '!$A$1:$H$154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<sst xmlns="http://schemas.openxmlformats.org/spreadsheetml/2006/main" count="3453" uniqueCount="1245">
  <si>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</si>
  <si>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</si>
  <si>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</si>
  <si>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</si>
  <si>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</si>
  <si>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</si>
  <si>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</si>
  <si>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</si>
  <si>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</si>
  <si>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</si>
  <si>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</si>
  <si>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</si>
  <si>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</si>
  <si>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</si>
  <si>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</si>
  <si>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</si>
  <si>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</si>
  <si>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</si>
  <si>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</si>
  <si>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</si>
  <si>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</si>
  <si>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</si>
  <si>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</si>
  <si>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</si>
  <si>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</si>
  <si>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</si>
  <si>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</si>
  <si>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</si>
  <si>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</si>
  <si>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</si>
  <si>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</si>
  <si>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</si>
  <si>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</si>
  <si>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</si>
  <si>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</si>
  <si>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</si>
  <si>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</si>
  <si>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</si>
  <si>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</si>
  <si>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</si>
  <si>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</si>
  <si>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</si>
  <si>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</si>
  <si>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</si>
  <si>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</si>
  <si>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</si>
  <si>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</si>
  <si>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</si>
  <si>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</si>
  <si>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</si>
  <si>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</si>
  <si>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</si>
  <si>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</si>
  <si>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</si>
  <si>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</si>
  <si>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</si>
  <si>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</si>
  <si>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</si>
  <si>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</si>
  <si>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</si>
  <si>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</si>
  <si>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</si>
  <si>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</si>
  <si>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</si>
  <si>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</si>
  <si>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</si>
  <si>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</si>
  <si>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</si>
  <si>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</si>
  <si>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</si>
  <si>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</si>
  <si>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</si>
  <si>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</si>
  <si>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</si>
  <si>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</si>
  <si>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</si>
  <si>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</si>
  <si>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</si>
  <si>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</si>
  <si>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</si>
  <si>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</si>
  <si>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</si>
  <si>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</si>
  <si>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</si>
  <si>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</si>
  <si>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</si>
  <si>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</si>
  <si>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</si>
  <si>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</si>
  <si>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</si>
  <si>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</si>
  <si>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</si>
  <si>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</si>
  <si>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</si>
  <si>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</si>
  <si>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</si>
  <si>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</si>
  <si>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</si>
  <si>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</si>
  <si>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</si>
  <si>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</si>
  <si>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</si>
  <si>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</si>
  <si>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</si>
  <si>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</si>
  <si>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</si>
  <si>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</si>
  <si>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</si>
  <si>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</si>
  <si>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</si>
  <si>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</si>
  <si>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</si>
  <si>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</si>
  <si>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</si>
  <si>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</si>
  <si>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</si>
  <si>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</si>
  <si>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</si>
  <si>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</si>
  <si>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</si>
  <si>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</si>
  <si>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</si>
  <si>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</si>
  <si>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</si>
  <si>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</si>
  <si>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</si>
  <si>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</si>
  <si>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</si>
  <si>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</si>
  <si>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</si>
  <si>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</si>
  <si>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</si>
  <si>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</si>
  <si>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</si>
  <si>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</si>
  <si>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</si>
  <si>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</si>
  <si>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</si>
  <si>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</si>
  <si>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</si>
  <si>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</si>
  <si>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</si>
  <si>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</si>
  <si>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</si>
  <si>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</si>
  <si>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</si>
  <si>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</si>
  <si>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</si>
  <si>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</si>
  <si>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</si>
  <si>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</si>
  <si>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</si>
  <si>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</si>
  <si>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</si>
  <si>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</si>
  <si>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</si>
  <si>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</si>
  <si>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</si>
  <si>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</si>
  <si>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</si>
  <si>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</si>
  <si>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</si>
  <si>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</si>
  <si>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</si>
  <si>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</si>
  <si>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</si>
  <si>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</si>
  <si>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</si>
  <si>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</si>
  <si>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</si>
  <si>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</si>
  <si>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</si>
  <si>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</si>
  <si>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</si>
  <si>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</si>
  <si>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</si>
  <si>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</si>
  <si>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</si>
  <si>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</si>
  <si>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</si>
  <si>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</si>
  <si>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</si>
  <si>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</si>
  <si>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</si>
  <si>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</si>
  <si>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</si>
  <si>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</si>
  <si>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</si>
  <si>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</si>
  <si>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</si>
  <si>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</si>
  <si>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</si>
  <si>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</si>
  <si>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</si>
  <si>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</si>
  <si>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</si>
  <si>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</si>
  <si>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</si>
  <si>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</si>
  <si>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</si>
  <si>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</si>
  <si>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</si>
  <si>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</si>
  <si>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</si>
  <si>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</si>
  <si>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</si>
  <si>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</si>
  <si>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</si>
  <si>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</si>
  <si>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</si>
  <si>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</si>
  <si>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</si>
  <si>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</si>
  <si>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</si>
  <si>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</si>
  <si>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</si>
  <si>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</si>
  <si>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</si>
  <si>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</si>
  <si>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</si>
  <si>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</si>
  <si>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</si>
  <si>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</si>
  <si>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</si>
  <si>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</si>
  <si>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</si>
  <si>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</si>
  <si>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</si>
  <si>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</si>
  <si>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</si>
  <si>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</si>
  <si>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</si>
  <si>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</si>
  <si>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</si>
  <si>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</si>
  <si>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</si>
  <si>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</si>
  <si>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</si>
  <si>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</si>
  <si>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</si>
  <si>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</si>
  <si>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</si>
  <si>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</si>
  <si>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</si>
  <si>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</si>
  <si>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</si>
  <si>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</si>
  <si>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</si>
  <si>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</si>
  <si>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Épületek elektromos felújítása</t>
  </si>
  <si>
    <t>Közterületi növényvédelem</t>
  </si>
  <si>
    <t>Dési Huber u. 2. közterületi parkoló bejárat és forgalomt.kiépítése</t>
  </si>
  <si>
    <t>"Bakáts projekt" tervezések, megvalósítás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</si>
  <si>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</si>
  <si>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</si>
  <si>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</si>
  <si>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</si>
  <si>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</si>
  <si>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</si>
  <si>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</si>
  <si>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</si>
  <si>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</si>
  <si>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</si>
  <si>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</si>
  <si>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</si>
  <si>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</si>
  <si>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</si>
  <si>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</si>
  <si>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</si>
  <si>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</si>
  <si>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</si>
  <si>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</si>
  <si>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</si>
  <si>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</si>
  <si>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</si>
  <si>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</si>
  <si>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</si>
  <si>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</si>
  <si>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</si>
  <si>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</si>
  <si>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</si>
  <si>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</si>
  <si>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</si>
  <si>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</si>
  <si>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</si>
  <si>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</si>
  <si>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</si>
  <si>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</si>
  <si>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</si>
  <si>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</si>
  <si>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</si>
  <si>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</si>
  <si>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</si>
  <si>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</si>
  <si>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</si>
  <si>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</si>
  <si>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</si>
  <si>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</si>
  <si>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</si>
  <si>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</si>
  <si>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</si>
  <si>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</si>
  <si>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</si>
  <si>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</si>
  <si>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</si>
  <si>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</si>
  <si>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</si>
  <si>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</si>
  <si>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</si>
  <si>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</si>
  <si>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</si>
  <si>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</si>
  <si>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</si>
  <si>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</si>
  <si>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</si>
  <si>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</si>
  <si>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</si>
  <si>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</si>
  <si>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</si>
  <si>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</si>
  <si>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</si>
  <si>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</si>
  <si>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</si>
  <si>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</si>
  <si>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</si>
  <si>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</si>
  <si>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</si>
  <si>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</si>
  <si>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</si>
  <si>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</si>
  <si>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</si>
  <si>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</si>
  <si>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</si>
  <si>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</si>
  <si>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</si>
  <si>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</si>
  <si>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</si>
  <si>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</si>
  <si>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</si>
  <si>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</si>
  <si>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</si>
  <si>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</si>
  <si>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</si>
  <si>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</si>
  <si>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</si>
  <si>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</si>
  <si>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</si>
  <si>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</si>
  <si>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</si>
  <si>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</si>
  <si>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</si>
  <si>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</si>
  <si>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</si>
  <si>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</si>
  <si>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</si>
  <si>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</si>
  <si>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</si>
  <si>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</si>
  <si>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</si>
  <si>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</si>
  <si>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</si>
  <si>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</si>
  <si>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</si>
  <si>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</si>
  <si>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</si>
  <si>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</si>
  <si>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</si>
  <si>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</si>
  <si>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</si>
  <si>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</si>
  <si>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</si>
  <si>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</si>
  <si>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</si>
  <si>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</si>
  <si>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</si>
  <si>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</si>
  <si>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</si>
  <si>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</si>
  <si>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</si>
  <si>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</si>
  <si>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</si>
  <si>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</si>
  <si>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</si>
  <si>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</si>
  <si>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</si>
  <si>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</si>
  <si>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</si>
  <si>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</si>
  <si>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</si>
  <si>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</si>
  <si>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</si>
  <si>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</si>
  <si>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</si>
  <si>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</si>
  <si>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</si>
  <si>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</si>
  <si>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</si>
  <si>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</si>
  <si>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</si>
  <si>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</si>
  <si>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</si>
  <si>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</si>
  <si>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</si>
  <si>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</si>
  <si>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</si>
  <si>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</si>
  <si>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</si>
  <si>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</si>
  <si>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</si>
  <si>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</si>
  <si>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</si>
  <si>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</si>
  <si>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</si>
  <si>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</si>
  <si>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</si>
  <si>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</si>
  <si>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</si>
  <si>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</si>
  <si>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</si>
  <si>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</si>
  <si>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</si>
  <si>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</si>
  <si>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</si>
  <si>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</si>
  <si>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</si>
  <si>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</si>
  <si>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</si>
  <si>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</si>
  <si>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</si>
  <si>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</si>
  <si>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</si>
  <si>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</si>
  <si>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</si>
  <si>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</si>
  <si>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</si>
  <si>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>FMK felújítás</t>
  </si>
  <si>
    <t>Ferencvárosi Egyesített Bölcsődék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</si>
  <si>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</si>
  <si>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</si>
  <si>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</si>
  <si>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</si>
  <si>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</si>
  <si>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</si>
  <si>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</si>
  <si>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</si>
  <si>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</si>
  <si>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</si>
  <si>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</si>
  <si>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</si>
  <si>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</si>
  <si>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</si>
  <si>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Informatikai eszközök beszerzése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</si>
  <si>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</si>
  <si>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</si>
  <si>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</si>
  <si>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</si>
  <si>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</si>
  <si>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</si>
  <si>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</si>
  <si>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</si>
  <si>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</si>
  <si>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</si>
  <si>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</si>
  <si>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</si>
  <si>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</si>
  <si>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</si>
  <si>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</si>
  <si>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</si>
  <si>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</si>
  <si>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</si>
  <si>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</si>
  <si>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</si>
  <si>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</si>
  <si>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</si>
  <si>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</si>
  <si>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</si>
  <si>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</si>
  <si>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</si>
  <si>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</si>
  <si>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</si>
  <si>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</si>
  <si>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</si>
  <si>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</si>
  <si>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</si>
  <si>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</si>
  <si>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</si>
  <si>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</si>
  <si>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</si>
  <si>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</si>
  <si>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</si>
  <si>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</si>
  <si>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</si>
  <si>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</si>
  <si>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</si>
  <si>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</si>
  <si>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</si>
  <si>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</si>
  <si>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</si>
  <si>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</si>
  <si>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</si>
  <si>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</si>
  <si>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</si>
  <si>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</si>
  <si>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</si>
  <si>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</si>
  <si>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</si>
  <si>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</si>
  <si>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</si>
  <si>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</si>
  <si>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</si>
  <si>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</si>
  <si>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</si>
  <si>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</si>
  <si>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</si>
  <si>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</si>
  <si>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</si>
  <si>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</si>
  <si>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</si>
  <si>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</si>
  <si>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</si>
  <si>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</si>
  <si>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</si>
  <si>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</si>
  <si>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</si>
  <si>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</si>
  <si>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</si>
  <si>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</si>
  <si>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</si>
  <si>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</si>
  <si>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</si>
  <si>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</si>
  <si>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</si>
  <si>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</si>
  <si>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</si>
  <si>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2018.</t>
  </si>
  <si>
    <t>2019.</t>
  </si>
  <si>
    <t>2020.</t>
  </si>
  <si>
    <t>2021.</t>
  </si>
  <si>
    <t>2022.</t>
  </si>
  <si>
    <t>2023.</t>
  </si>
  <si>
    <t>2024.</t>
  </si>
  <si>
    <t>Lakóházfelújításokra fővárosi visszatérítendő támogatása</t>
  </si>
  <si>
    <t>Lakóház</t>
  </si>
  <si>
    <t>Márton u. 5/a</t>
  </si>
  <si>
    <t>Felújítások, beruházások nettó értékben</t>
  </si>
  <si>
    <t>További kötelezettségek</t>
  </si>
  <si>
    <t>Bérelt vonal szolgáltatás</t>
  </si>
  <si>
    <t>Roma Nemzetiségi Önk. tel.intern.</t>
  </si>
  <si>
    <t>Ingatlan vagyon  kataszter</t>
  </si>
  <si>
    <t>Mikrovoks rendszer üzemeltetése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</si>
  <si>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</si>
  <si>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</si>
  <si>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</si>
  <si>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</si>
  <si>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</si>
  <si>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</si>
  <si>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</si>
  <si>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kellékanyag beszerz.</t>
  </si>
  <si>
    <t>Számítástechnikai alkatrészek</t>
  </si>
  <si>
    <t>Digitális közműtérkép frissitése</t>
  </si>
  <si>
    <t>Telefonalközpont üzemeltetés és tanácsad.</t>
  </si>
  <si>
    <t>Irodaszer beszerzés</t>
  </si>
  <si>
    <t>Hivatali karbantartartások</t>
  </si>
  <si>
    <t>Ásványvizek beszerzése</t>
  </si>
  <si>
    <t>Mobil flotta szerződés</t>
  </si>
  <si>
    <t>Tisztítószer beszerzés</t>
  </si>
  <si>
    <t>Hivatali szállítás (taxi)</t>
  </si>
  <si>
    <t>Hivatali szállítás, rakodás</t>
  </si>
  <si>
    <t>Nyomtatvány beszerzés</t>
  </si>
  <si>
    <t>Kémény-felújítási munkák</t>
  </si>
  <si>
    <t>Könyvvizsgálati díj</t>
  </si>
  <si>
    <t>Új Út Szociális Egyesület</t>
  </si>
  <si>
    <t>Őrzési feladatok</t>
  </si>
  <si>
    <t>Ferencvárosi Helytört. Egyesület</t>
  </si>
  <si>
    <t>Concerto Akadémia Nonprofit Kft</t>
  </si>
  <si>
    <t>MÁV Szimfónikus Zen.Alap.</t>
  </si>
  <si>
    <t>Erdődy Kamarazen.Alap.</t>
  </si>
  <si>
    <t>Turay Ida Közhasz. Nonp.Kft.</t>
  </si>
  <si>
    <t>Ferencv.Úrhölgyek Polg.Egy.</t>
  </si>
  <si>
    <t>Moravcsik Alapítvány</t>
  </si>
  <si>
    <t>Lőrinczi Gondozóház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</si>
  <si>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</si>
  <si>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</si>
  <si>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</si>
  <si>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</si>
  <si>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Semmelweis Egyetem bérl.díj Közter-f.</t>
  </si>
  <si>
    <t xml:space="preserve">Ferencvárosi Újság előállítása </t>
  </si>
  <si>
    <t>Házi segítség nyújtás</t>
  </si>
  <si>
    <t>Vodafone Flotta Közterület-felügyelet</t>
  </si>
  <si>
    <t>Takarítás Közterület-felügyelet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</si>
  <si>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</si>
  <si>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</si>
  <si>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</si>
  <si>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</si>
  <si>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</si>
  <si>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</si>
  <si>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</si>
  <si>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</si>
  <si>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</si>
  <si>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</si>
  <si>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</si>
  <si>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</si>
  <si>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</si>
  <si>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</si>
  <si>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</si>
  <si>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</si>
  <si>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</si>
  <si>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</si>
  <si>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</si>
  <si>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</si>
  <si>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</si>
  <si>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</si>
  <si>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</si>
  <si>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</si>
  <si>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</si>
  <si>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</si>
  <si>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</si>
  <si>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</si>
  <si>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</si>
  <si>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</si>
  <si>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</si>
  <si>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</si>
  <si>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</si>
  <si>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</si>
  <si>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</si>
  <si>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</si>
  <si>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</si>
  <si>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</si>
  <si>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</si>
  <si>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</si>
  <si>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</si>
  <si>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</si>
  <si>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</si>
  <si>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</si>
  <si>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</si>
  <si>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</si>
  <si>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</si>
  <si>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</si>
  <si>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</si>
  <si>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</si>
  <si>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</si>
  <si>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</si>
  <si>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</si>
  <si>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</si>
  <si>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</si>
  <si>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</si>
  <si>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</si>
  <si>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</si>
  <si>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</si>
  <si>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</si>
  <si>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</si>
  <si>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</si>
  <si>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</si>
  <si>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</si>
  <si>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</si>
  <si>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</si>
  <si>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</si>
  <si>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</si>
  <si>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</si>
  <si>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</si>
  <si>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</si>
  <si>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</si>
  <si>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</si>
  <si>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</si>
  <si>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</si>
  <si>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</si>
  <si>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</si>
  <si>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</si>
  <si>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</si>
  <si>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</si>
  <si>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</si>
  <si>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</si>
  <si>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</si>
  <si>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</si>
  <si>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</si>
  <si>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</si>
  <si>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</si>
  <si>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</si>
  <si>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</si>
  <si>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</si>
  <si>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</si>
  <si>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</si>
  <si>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</si>
  <si>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</si>
  <si>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</si>
  <si>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</si>
  <si>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</si>
  <si>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</si>
  <si>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</si>
  <si>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</si>
  <si>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</si>
  <si>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</si>
  <si>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</si>
  <si>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</si>
  <si>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</si>
  <si>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</si>
  <si>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</si>
  <si>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5012 Utcanév és tájékozatató táblák</t>
  </si>
  <si>
    <t xml:space="preserve">             5030 Közvilágítás fejlesztése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</si>
  <si>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</si>
  <si>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</si>
  <si>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</si>
  <si>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</si>
  <si>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</si>
  <si>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</si>
  <si>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</si>
  <si>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</si>
  <si>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</si>
  <si>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</si>
  <si>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</si>
  <si>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</si>
  <si>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</si>
  <si>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</si>
  <si>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</si>
  <si>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 xml:space="preserve">            5039 MÁV lakótelep víz közmű hálózat kiépítése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</si>
  <si>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</si>
  <si>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</si>
  <si>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</si>
  <si>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</si>
  <si>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</si>
  <si>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</si>
  <si>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</si>
  <si>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</si>
  <si>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</si>
  <si>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</si>
  <si>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</si>
  <si>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</si>
  <si>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</si>
  <si>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</si>
  <si>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</si>
  <si>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</si>
  <si>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</si>
  <si>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</si>
  <si>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</si>
  <si>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</si>
  <si>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</si>
  <si>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</si>
  <si>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</si>
  <si>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</si>
  <si>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</si>
  <si>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</si>
  <si>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</si>
  <si>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</si>
  <si>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</si>
  <si>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</si>
  <si>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</si>
  <si>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</si>
  <si>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</si>
  <si>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</si>
  <si>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</si>
  <si>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</si>
  <si>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</si>
  <si>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</si>
  <si>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</si>
  <si>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</si>
  <si>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</si>
  <si>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</si>
  <si>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</si>
  <si>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</si>
  <si>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</si>
  <si>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</si>
  <si>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</si>
  <si>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</si>
  <si>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</si>
  <si>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</si>
  <si>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</si>
  <si>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</si>
  <si>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</si>
  <si>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</si>
  <si>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</si>
  <si>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</si>
  <si>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</si>
  <si>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</si>
  <si>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</si>
  <si>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</si>
  <si>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</si>
  <si>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</si>
  <si>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</si>
  <si>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</si>
  <si>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</si>
  <si>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</si>
  <si>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</si>
  <si>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</si>
  <si>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</si>
  <si>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</si>
  <si>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3210  Bűnmegelőzés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</si>
  <si>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</si>
  <si>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</si>
  <si>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</si>
  <si>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</si>
  <si>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</si>
  <si>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</si>
  <si>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</si>
  <si>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</si>
  <si>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</si>
  <si>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</si>
  <si>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</si>
  <si>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</si>
  <si>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</si>
  <si>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</si>
  <si>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</si>
  <si>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</si>
  <si>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</si>
  <si>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</si>
  <si>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</si>
  <si>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</si>
  <si>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</si>
  <si>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</si>
  <si>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</si>
  <si>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</si>
  <si>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</si>
  <si>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</si>
  <si>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</si>
  <si>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</si>
  <si>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</si>
  <si>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</si>
  <si>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</si>
  <si>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Belföldi értékpapírok vásárlása</t>
  </si>
  <si>
    <t>Jogvita rendezése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</si>
  <si>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</si>
  <si>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</si>
  <si>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</si>
  <si>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</si>
  <si>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</si>
  <si>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KEHOP-5.2.9 "Önkorm. Ép. Energ. Fejl. Ferencvárosban"</t>
  </si>
  <si>
    <t>Közművelődés érdekeltségnövelő pály.FMK eszközbeszerz.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</si>
  <si>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</si>
  <si>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</si>
  <si>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</si>
  <si>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</si>
  <si>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</si>
  <si>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</si>
  <si>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</si>
  <si>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</si>
  <si>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</si>
  <si>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</si>
  <si>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</si>
  <si>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</si>
  <si>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</si>
  <si>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</si>
  <si>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</si>
  <si>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</si>
  <si>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</si>
  <si>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</si>
  <si>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</si>
  <si>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</si>
  <si>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</si>
  <si>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</si>
  <si>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</si>
  <si>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</si>
  <si>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</si>
  <si>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</si>
  <si>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</si>
  <si>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</si>
  <si>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</si>
  <si>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</si>
  <si>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</si>
  <si>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</si>
  <si>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Beruházások</t>
  </si>
  <si>
    <t>18. Felújítások</t>
  </si>
  <si>
    <t>20. Egyéb felhalmozási célú kiadások</t>
  </si>
  <si>
    <t>23. Hosszú lejáratú hitel tőke összegének törlesztése, megelőlegezett norm., működ.fin.kiad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</si>
  <si>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</si>
  <si>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</si>
  <si>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</si>
  <si>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</si>
  <si>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2019. év várható terv szám</t>
  </si>
  <si>
    <t>2020.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</si>
  <si>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</si>
  <si>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</si>
  <si>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</si>
  <si>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</si>
  <si>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</si>
  <si>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</si>
  <si>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</si>
  <si>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</si>
  <si>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</si>
  <si>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</si>
  <si>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</si>
  <si>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</si>
  <si>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</si>
  <si>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</si>
  <si>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</si>
  <si>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</si>
  <si>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</si>
  <si>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</si>
  <si>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Lakás és helyiségfelújítás</t>
  </si>
  <si>
    <t>KEHOP-5.2.9. "Önkormányzati épületek Energetikai Fejlesztése Ferencvárosban"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</si>
  <si>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</si>
  <si>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</si>
  <si>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</si>
  <si>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</si>
  <si>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</si>
  <si>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</si>
  <si>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</si>
  <si>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</si>
  <si>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</si>
  <si>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</si>
  <si>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</si>
  <si>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</si>
  <si>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</si>
  <si>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</si>
  <si>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</si>
  <si>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</si>
  <si>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</si>
  <si>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</si>
  <si>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</si>
  <si>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</si>
  <si>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</si>
  <si>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</si>
  <si>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</si>
  <si>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</si>
  <si>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</si>
  <si>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</si>
  <si>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</si>
  <si>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</si>
  <si>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</si>
  <si>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</si>
  <si>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</si>
  <si>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</si>
  <si>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</si>
  <si>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</si>
  <si>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</si>
  <si>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</si>
  <si>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</si>
  <si>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</si>
  <si>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Játszóterek javítása</t>
  </si>
  <si>
    <t>MÁV lakótelep víz közmű hálózat kiépítése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</si>
  <si>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</si>
  <si>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</si>
  <si>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</si>
  <si>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</si>
  <si>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</si>
  <si>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</si>
  <si>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</si>
  <si>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</si>
  <si>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FIÜK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</si>
  <si>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</si>
  <si>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</si>
  <si>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</si>
  <si>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</si>
  <si>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</si>
  <si>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</si>
  <si>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</si>
  <si>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</si>
  <si>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</si>
  <si>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</si>
  <si>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</si>
  <si>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</si>
  <si>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</si>
  <si>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</si>
  <si>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</si>
  <si>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</si>
  <si>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</si>
  <si>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</si>
  <si>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</si>
  <si>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</si>
  <si>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</si>
  <si>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</si>
  <si>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</si>
  <si>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</si>
  <si>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</si>
  <si>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084010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</si>
  <si>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</si>
  <si>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</si>
  <si>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</si>
  <si>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</si>
  <si>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</si>
  <si>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</si>
  <si>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</si>
  <si>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</si>
  <si>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</si>
  <si>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</si>
  <si>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</si>
  <si>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</si>
  <si>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</si>
  <si>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</si>
  <si>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</si>
  <si>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</si>
  <si>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</si>
  <si>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</si>
  <si>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</si>
  <si>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</si>
  <si>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</si>
  <si>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</si>
  <si>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</si>
  <si>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</si>
  <si>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</si>
  <si>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</si>
  <si>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</si>
  <si>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</si>
  <si>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</si>
  <si>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</si>
  <si>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</si>
  <si>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</si>
  <si>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</si>
  <si>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</si>
  <si>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</si>
  <si>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</si>
  <si>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</si>
  <si>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</si>
  <si>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</si>
  <si>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</si>
  <si>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</si>
  <si>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</si>
  <si>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</si>
  <si>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</si>
  <si>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104036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</si>
  <si>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</si>
  <si>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</si>
  <si>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</si>
  <si>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</si>
  <si>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</si>
  <si>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</si>
  <si>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</si>
  <si>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</si>
  <si>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</si>
  <si>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</si>
  <si>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</si>
  <si>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</si>
  <si>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</si>
  <si>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</si>
  <si>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</si>
  <si>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</si>
  <si>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900060</t>
  </si>
  <si>
    <t>Forgatási és befektetési célú finanszírozási műveletek</t>
  </si>
  <si>
    <t>Általános tartalék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</si>
  <si>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</si>
  <si>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</si>
  <si>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</si>
  <si>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</si>
  <si>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</si>
  <si>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</si>
  <si>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</si>
  <si>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</si>
  <si>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</si>
  <si>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</si>
  <si>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Egyéb működési célú támogatások bevételei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</si>
  <si>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</si>
  <si>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</si>
  <si>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</si>
  <si>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</si>
  <si>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</si>
  <si>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</si>
  <si>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</si>
  <si>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Környezetvédelmi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</si>
  <si>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</si>
  <si>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</si>
  <si>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</si>
  <si>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</si>
  <si>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</si>
  <si>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</si>
  <si>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</si>
  <si>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</si>
  <si>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</si>
  <si>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</si>
  <si>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</si>
  <si>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</si>
  <si>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</si>
  <si>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</si>
  <si>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</si>
  <si>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</si>
  <si>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</si>
  <si>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</si>
  <si>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</si>
  <si>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</si>
  <si>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</si>
  <si>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Gyermekétkeztetés köznevelési intézményben</t>
  </si>
  <si>
    <t>2018. évi Polgármesteri Hivatal és Intézményi engedélyezett létszámadatok</t>
  </si>
  <si>
    <t>2018. évi közvetett támogatások</t>
  </si>
  <si>
    <t>Költségvetési szervek 2018. évi költségvetése</t>
  </si>
  <si>
    <t>Az önkormányzat 2018. évi kiadásai</t>
  </si>
  <si>
    <t>Az önkormányzat 2018. évi bevételei</t>
  </si>
  <si>
    <t>A Polgármesteri Hivatal kiadásai 2018.</t>
  </si>
  <si>
    <t>Közterület-felügyelet  2018. év</t>
  </si>
  <si>
    <t xml:space="preserve">Az önkormányzat  költségvetésében szereplő 2018. évi kiadások </t>
  </si>
  <si>
    <t>2018. évi beruházási, fejlesztési kiadások</t>
  </si>
  <si>
    <t>2018. évi felújítások</t>
  </si>
  <si>
    <t xml:space="preserve">Az önkormányzat  költségvetésében szereplő támogatások 2018. évi kiadásai </t>
  </si>
  <si>
    <t>Az önkormányzat költségvetésében szereplő 2018. évi tartalékok</t>
  </si>
  <si>
    <t>Az Európai Unió-s forrásokkal támogatott fejlesztések tervezett 2018. évi adatairól</t>
  </si>
  <si>
    <t>2018. év</t>
  </si>
  <si>
    <t>Gyermekjóléti szolgáltatások, szociális szolgált.ell.</t>
  </si>
  <si>
    <t xml:space="preserve"> 2018. évi előirányzat felhasználási ütemterv</t>
  </si>
  <si>
    <t>Részesedések értékesítése, részesedések megszűnéséhez kapcsolódó bevételek</t>
  </si>
  <si>
    <t>Részesedések értékesítéséhez kapcsolódó realizált nyereség</t>
  </si>
  <si>
    <t>3021 Polgármesteri Hivatal Igazgatási kiadásai 27 fő</t>
  </si>
  <si>
    <t>TV üzemeltetés</t>
  </si>
  <si>
    <t>Televízió-műsor szolgáltatása és támogatása</t>
  </si>
  <si>
    <t>Társadalmi tevékenységekkel, esélyegyenlőséggel, érdekképviselettel,nemzetiségekkel, egyházakkal összefüggő feladatok igazgatása és szabályozása</t>
  </si>
  <si>
    <t>Civil szervezetek programtámogatása</t>
  </si>
  <si>
    <t>Gyermekétkeztetés bölcsődében, fogyatékosok nappali intézményében</t>
  </si>
  <si>
    <t>Mumkahelyi étkeztetés gyermekek napközbeni ellátását biztosító intézményben</t>
  </si>
  <si>
    <t>Romák társadalmi integrációját elősegítő tevékenységek, programok</t>
  </si>
  <si>
    <t>Kerekerdő park - csúszdapark és függő híd megvalósítása</t>
  </si>
  <si>
    <t>Dési Huber u. 2. közterületi parkoló bejárat ésforgalomt.kiépítése</t>
  </si>
  <si>
    <t>181-es busz végállomás áth. Gyáli út vége MÁV területre</t>
  </si>
  <si>
    <t>Közvilágítás kiépítése Aszódi lakótelepen</t>
  </si>
  <si>
    <t>2018. év eredeti költségvetés</t>
  </si>
  <si>
    <t>2021. év várható terv szám</t>
  </si>
  <si>
    <t>Balázs B. u. 13.</t>
  </si>
  <si>
    <t xml:space="preserve">2018. </t>
  </si>
  <si>
    <t>Pogácsa, virág beszerzés</t>
  </si>
  <si>
    <t>KEHOP-5.2.9 "Önkormányzati épületek Energetikai Fejlesztése Ferencvárosban"</t>
  </si>
  <si>
    <t>Városfejlesztési, Városgazdálkodási és Környezetvédelmi Bizottság</t>
  </si>
  <si>
    <t>Óvodák, oktatási, szociális és kulturális intézmények  felújítása</t>
  </si>
  <si>
    <t xml:space="preserve">             4112 Balázs B. u. 13. lakóház felújítás</t>
  </si>
  <si>
    <t xml:space="preserve">      4125 Épületek elektromos felújítása</t>
  </si>
  <si>
    <t xml:space="preserve">Kerekerdő park - csúszdapark és függőhíd megvalósítása </t>
  </si>
  <si>
    <t>Kerekerdő park - csúszdapark és függőhíd megvalósítása</t>
  </si>
  <si>
    <t xml:space="preserve">             5034 Dési Huber u. 2. közterületi parkoló bejárat és forgalomt.kiép.</t>
  </si>
  <si>
    <t xml:space="preserve">             3054 Kerületi növényvédelem</t>
  </si>
  <si>
    <t xml:space="preserve">             4014 Játszóterek, műfüves és sportpályák, fitness eszközök, zöldf.felúj., (Zombori játszótér)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</si>
  <si>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</si>
  <si>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>fő</t>
  </si>
  <si>
    <t>Testületi munka támogatása</t>
  </si>
  <si>
    <t xml:space="preserve">    Földterület, telek, ingatlan értékesítése</t>
  </si>
  <si>
    <t>FEV IX. Zrt. támogatása parkoló órák vásárlására</t>
  </si>
  <si>
    <t>Épületek elektromos felújítása, tetőfelújítás</t>
  </si>
  <si>
    <t>Drégely utcai rendelő vásárlása</t>
  </si>
  <si>
    <t>Drégely utcai rendelők felújítása</t>
  </si>
  <si>
    <t xml:space="preserve">      4311 Drégely utcai rendelők felújítása</t>
  </si>
  <si>
    <t xml:space="preserve">              3926 FEV IX. Zrt. támogatása parkoló órák vásárlására</t>
  </si>
  <si>
    <t>1843 Államháztartáson belüli megelőlegezések visszafizetése</t>
  </si>
  <si>
    <t>Vállakozás ösztönző program</t>
  </si>
  <si>
    <t xml:space="preserve">      5033 Térfigyelő rendszer fejlesztése</t>
  </si>
  <si>
    <t>FEV IX. Zrt. Parkolási rendszer működtetéséhez szüks.techn.eszközök</t>
  </si>
  <si>
    <t>Budapest Art Center Nonprofit Kft. - Színházművészeti szerv.támogatása</t>
  </si>
  <si>
    <t xml:space="preserve">      3963 Budapest Art Center Nonprofit Kft. - Színházművészeti szerv.támogatása</t>
  </si>
  <si>
    <t>Működési és felhalmozási költségvetési kiadások mindösszesen</t>
  </si>
  <si>
    <t>2018. évi előirányzat 6/2018.</t>
  </si>
  <si>
    <t>2018. évi előirányzat  6/2018.</t>
  </si>
  <si>
    <t xml:space="preserve">2018. évi előirányzat 6/2018. </t>
  </si>
  <si>
    <t>Óvodák, oktatási, szociális és kulturális intézmények  összesen</t>
  </si>
  <si>
    <t>Jogvita rendezés</t>
  </si>
  <si>
    <t>József Attila lakótelepen járdák felújítása</t>
  </si>
  <si>
    <t>Közterület-felügyelet épületeinek felújítása</t>
  </si>
  <si>
    <t>ASP bevezetése</t>
  </si>
  <si>
    <t>Reklámhordozók bontása</t>
  </si>
  <si>
    <t>Nagyjátszótéren játszóvár csere</t>
  </si>
  <si>
    <t>FESZGYI személygépkocsi beszerzés</t>
  </si>
  <si>
    <t xml:space="preserve">             3075 Reklámhordozók bontása</t>
  </si>
  <si>
    <t>3125 Jogvita rendezése</t>
  </si>
  <si>
    <t xml:space="preserve">             4018 József Attila lakótelepen járdák felújítása</t>
  </si>
  <si>
    <t xml:space="preserve">             4124 Haller terv</t>
  </si>
  <si>
    <t xml:space="preserve">             4137 Közterület-felügyelet épületeinek felújítása</t>
  </si>
  <si>
    <t xml:space="preserve">      4321 FESZGYI felújítása</t>
  </si>
  <si>
    <t xml:space="preserve">             5031 Nagyjátszótéren játszóvár csere</t>
  </si>
  <si>
    <t>1806 Elvonások és befizetések</t>
  </si>
  <si>
    <t>Haller terv</t>
  </si>
  <si>
    <t>FESZGYI gépkocsi vásárlás</t>
  </si>
  <si>
    <t>Elvonások és befizetések</t>
  </si>
  <si>
    <t>Haller terv - dologi kiadás</t>
  </si>
  <si>
    <t>A 4.sz. melléklet 4112, 4114, 4115, sz. költségvetési sorok (lakóházfelújítások)  a táblázatban nettó értékkel szerepelnek.</t>
  </si>
  <si>
    <t>Nagyjátszótéren játszóvár beszerzés</t>
  </si>
  <si>
    <t>Fejlesztések, beruházások, felújítások</t>
  </si>
  <si>
    <t xml:space="preserve">    Fejlesztések, beruházások, felújítások</t>
  </si>
  <si>
    <t>Ferencvárosi Újság terjesztése</t>
  </si>
  <si>
    <t xml:space="preserve">    ASP bevezetés támogatás KÖFOP-VEKOP</t>
  </si>
  <si>
    <t>Minta kereszteződés József Attila lakótelepen</t>
  </si>
  <si>
    <t xml:space="preserve">Játszóterek, műfüves és sportpályák, fitness eszközök, zöldf. felúj., </t>
  </si>
  <si>
    <t>Utak felújítása</t>
  </si>
  <si>
    <t xml:space="preserve">  Munkaadókat terhelő járulékok</t>
  </si>
  <si>
    <t>Minta kereszteződés József Attila lakótelep</t>
  </si>
  <si>
    <t xml:space="preserve">             4019 Utak felújítása</t>
  </si>
  <si>
    <t>Haller park felújítás</t>
  </si>
  <si>
    <t xml:space="preserve">             4012 Haller park</t>
  </si>
  <si>
    <t>Haller park felújítása</t>
  </si>
  <si>
    <t>Napvitorlák beszerzése</t>
  </si>
  <si>
    <t>Markusovszky parkba kültéri fitnesz eszközök beszerzése</t>
  </si>
  <si>
    <t xml:space="preserve">             5047 Napvitorlák beszerzése</t>
  </si>
  <si>
    <t xml:space="preserve">            5048 Markusovszky parkba kültéri fitnesz eszközök beszerzése</t>
  </si>
  <si>
    <t>Parkok őrzése</t>
  </si>
  <si>
    <t>Tej, kifli, túró rudi beszerzése</t>
  </si>
  <si>
    <t>Közalk.,közsz.,eü-i,közokt. jogi szakértő</t>
  </si>
  <si>
    <t>Közösségi terek kialakítása, eszközök beszerzése</t>
  </si>
  <si>
    <t xml:space="preserve">            5049 Közösségi terek kialakítása, eszközök beszerzése</t>
  </si>
  <si>
    <t>Sportparkok fenntartása, karbant.</t>
  </si>
  <si>
    <t xml:space="preserve">   ebből: Általános tartalék</t>
  </si>
  <si>
    <t xml:space="preserve">             Intézményvezetői jutalom céltartalék</t>
  </si>
  <si>
    <t xml:space="preserve">             Fejlesztések, beruházások, felújítások céltartalék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</si>
  <si>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</si>
  <si>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</si>
  <si>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</si>
  <si>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</si>
  <si>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</si>
  <si>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</si>
  <si>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2018. évi előirányzat 12/2018.</t>
  </si>
  <si>
    <t>2018. évi előirányzat  12/2018.</t>
  </si>
  <si>
    <t>2018. évi előirányzat   12/2018.</t>
  </si>
  <si>
    <t xml:space="preserve">2018. évi előirányzat 12/2018. </t>
  </si>
  <si>
    <t>1802 Fővárosi IPA visszafizetése</t>
  </si>
  <si>
    <t>Fővárosi IPA visszafizetése</t>
  </si>
  <si>
    <t xml:space="preserve">Egyéb felhalmozási célú támog.bevételei ÁH-n belülről </t>
  </si>
  <si>
    <t>FIÜK szállítás</t>
  </si>
  <si>
    <t>Épületbiztosítás</t>
  </si>
  <si>
    <t>Hivatali épületek takarítása</t>
  </si>
  <si>
    <t>Üzemanyagkártya szerződés</t>
  </si>
  <si>
    <t>Hivatali parkolás</t>
  </si>
  <si>
    <t>Bérmentesítő bérleti díj, alkatr.besz.</t>
  </si>
  <si>
    <t>FIÜK Gázszolg.beszerz.</t>
  </si>
  <si>
    <t>Gyáli úti posta bérlés, üzemelt.</t>
  </si>
  <si>
    <t>Töltőállomás üzemeltetés</t>
  </si>
  <si>
    <t>2018. évi előirányzat 23/2018.</t>
  </si>
  <si>
    <t>2018. évi előirányzat  23/2018.</t>
  </si>
  <si>
    <t>2018. évi előirányzat   23/2018.</t>
  </si>
  <si>
    <t xml:space="preserve">2018. évi előirányzat 23/2018. </t>
  </si>
  <si>
    <t xml:space="preserve">     4211 Csicsergő Óvoda</t>
  </si>
  <si>
    <t xml:space="preserve">      4213 Csudafa Óvoda</t>
  </si>
  <si>
    <t xml:space="preserve">      4225 Napfény Óvoda</t>
  </si>
  <si>
    <t xml:space="preserve">      4323 FMK felújítás</t>
  </si>
  <si>
    <t xml:space="preserve">      4322 Bölcsődék felújítás</t>
  </si>
  <si>
    <t>Bölcsődék</t>
  </si>
  <si>
    <t>Jogtár</t>
  </si>
  <si>
    <t>Rendelettár</t>
  </si>
  <si>
    <t>Céginfó</t>
  </si>
  <si>
    <t>Integrált pénzügyi rendszer</t>
  </si>
  <si>
    <t>KAPU térinformatikai rendszer</t>
  </si>
  <si>
    <t>E-földkönyv rendszer</t>
  </si>
  <si>
    <t>Digitális alaptérkép</t>
  </si>
  <si>
    <t>Nagyjátszótéren hinta elbontása, új hinta kihelyezése</t>
  </si>
  <si>
    <t xml:space="preserve">             5035 Nagyjátszótéren hinta elbontása, új hinta kihelyezése</t>
  </si>
  <si>
    <t>Nagyjátszótéren hinta elbontása, új kihelyezése</t>
  </si>
  <si>
    <t>TÉR-KÖZ 2019</t>
  </si>
  <si>
    <t>2018. évi előirányzat 30/2018.</t>
  </si>
  <si>
    <t>2018. évi előirányzat  30/2018.</t>
  </si>
  <si>
    <t>2018. évi előirányzat   30/2018.</t>
  </si>
  <si>
    <t xml:space="preserve">2018. évi előirányzat 30/2018. </t>
  </si>
  <si>
    <t xml:space="preserve">             3061 Köztutak üzemeltetése</t>
  </si>
  <si>
    <t>2018. évi előirányzat .../2019.</t>
  </si>
  <si>
    <t>2018. évi előirányzat …/2019.</t>
  </si>
  <si>
    <t>Index     7./6.</t>
  </si>
  <si>
    <t>Index       7./6.</t>
  </si>
  <si>
    <t>Index    7./6.</t>
  </si>
  <si>
    <t>Index            7./6.</t>
  </si>
  <si>
    <t>2018. évi előirányzat   .../2019.</t>
  </si>
  <si>
    <t xml:space="preserve">2018. évi előirányzat .../2019. </t>
  </si>
  <si>
    <t>Index        7./6.</t>
  </si>
  <si>
    <t>2018. évi előirányzat  .../2019.</t>
  </si>
  <si>
    <t>Engedélye-zett létszám összesen 2018. év          .../2019.</t>
  </si>
  <si>
    <t>2018. évi előirányzat       .../2019.</t>
  </si>
  <si>
    <t>Előző évi mar. igénybev. Finansz.bev.</t>
  </si>
  <si>
    <t>Az 5023 sorból 186.670 eFt, az 5024 sorból 534.348 eFt a táblázatban nettó értékkel szerepelnek</t>
  </si>
  <si>
    <t>2018. évi előirányzat  …./2018.</t>
  </si>
  <si>
    <t>Index   7./6.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</si>
</sst>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69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3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3" fillId="0" borderId="15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5" fillId="0" borderId="0" xfId="63" applyFont="1">
      <alignment/>
      <protection/>
    </xf>
    <xf numFmtId="0" fontId="8" fillId="0" borderId="0" xfId="63" applyFont="1">
      <alignment/>
      <protection/>
    </xf>
    <xf numFmtId="0" fontId="37" fillId="0" borderId="16" xfId="63" applyFont="1" applyBorder="1">
      <alignment/>
      <protection/>
    </xf>
    <xf numFmtId="0" fontId="37" fillId="0" borderId="22" xfId="63" applyFont="1" applyBorder="1">
      <alignment/>
      <protection/>
    </xf>
    <xf numFmtId="0" fontId="37" fillId="0" borderId="23" xfId="63" applyFont="1" applyBorder="1">
      <alignment/>
      <protection/>
    </xf>
    <xf numFmtId="0" fontId="37" fillId="0" borderId="20" xfId="63" applyFont="1" applyBorder="1">
      <alignment/>
      <protection/>
    </xf>
    <xf numFmtId="0" fontId="37" fillId="0" borderId="24" xfId="63" applyFont="1" applyBorder="1">
      <alignment/>
      <protection/>
    </xf>
    <xf numFmtId="0" fontId="36" fillId="0" borderId="23" xfId="63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6" fillId="0" borderId="25" xfId="63" applyNumberFormat="1" applyFont="1" applyBorder="1">
      <alignment/>
      <protection/>
    </xf>
    <xf numFmtId="3" fontId="37" fillId="0" borderId="24" xfId="63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3" applyFont="1" applyBorder="1">
      <alignment/>
      <protection/>
    </xf>
    <xf numFmtId="3" fontId="37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6" fillId="0" borderId="27" xfId="63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3" applyFont="1" applyBorder="1" applyAlignment="1">
      <alignment vertical="center"/>
      <protection/>
    </xf>
    <xf numFmtId="3" fontId="34" fillId="0" borderId="25" xfId="63" applyNumberFormat="1" applyFont="1" applyBorder="1" applyAlignment="1">
      <alignment vertical="center"/>
      <protection/>
    </xf>
    <xf numFmtId="0" fontId="34" fillId="0" borderId="22" xfId="63" applyFont="1" applyBorder="1" applyAlignment="1">
      <alignment vertical="center"/>
      <protection/>
    </xf>
    <xf numFmtId="3" fontId="34" fillId="0" borderId="28" xfId="63" applyNumberFormat="1" applyFont="1" applyBorder="1" applyAlignment="1">
      <alignment vertical="center"/>
      <protection/>
    </xf>
    <xf numFmtId="0" fontId="34" fillId="0" borderId="29" xfId="63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11" fillId="0" borderId="14" xfId="64" applyFont="1" applyBorder="1" applyAlignment="1">
      <alignment vertical="center"/>
      <protection/>
    </xf>
    <xf numFmtId="0" fontId="11" fillId="0" borderId="15" xfId="64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0" fontId="1" fillId="0" borderId="21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7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6" fillId="0" borderId="27" xfId="63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7" fillId="0" borderId="20" xfId="63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6" fillId="0" borderId="28" xfId="63" applyNumberFormat="1" applyFont="1" applyBorder="1">
      <alignment/>
      <protection/>
    </xf>
    <xf numFmtId="0" fontId="11" fillId="0" borderId="11" xfId="64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1" fillId="0" borderId="10" xfId="68" applyNumberFormat="1" applyFont="1" applyFill="1" applyBorder="1" applyAlignment="1">
      <alignment horizontal="center"/>
      <protection/>
    </xf>
    <xf numFmtId="3" fontId="11" fillId="0" borderId="10" xfId="68" applyNumberFormat="1" applyFont="1" applyFill="1" applyBorder="1" applyAlignment="1" applyProtection="1">
      <alignment horizontal="center"/>
      <protection locked="0"/>
    </xf>
    <xf numFmtId="3" fontId="11" fillId="0" borderId="31" xfId="68" applyNumberFormat="1" applyFont="1" applyFill="1" applyBorder="1" applyAlignment="1" applyProtection="1">
      <alignment horizontal="center"/>
      <protection locked="0"/>
    </xf>
    <xf numFmtId="3" fontId="14" fillId="0" borderId="10" xfId="68" applyNumberFormat="1" applyFont="1" applyFill="1" applyBorder="1" applyAlignment="1" applyProtection="1">
      <alignment horizontal="center"/>
      <protection locked="0"/>
    </xf>
    <xf numFmtId="0" fontId="11" fillId="0" borderId="31" xfId="68" applyFont="1" applyFill="1" applyBorder="1" applyProtection="1">
      <alignment/>
      <protection locked="0"/>
    </xf>
    <xf numFmtId="3" fontId="3" fillId="0" borderId="27" xfId="64" applyNumberFormat="1" applyFont="1" applyBorder="1" applyAlignment="1">
      <alignment/>
      <protection/>
    </xf>
    <xf numFmtId="0" fontId="11" fillId="0" borderId="14" xfId="64" applyFont="1" applyBorder="1" applyAlignment="1">
      <alignment/>
      <protection/>
    </xf>
    <xf numFmtId="0" fontId="9" fillId="0" borderId="12" xfId="64" applyFont="1" applyBorder="1" applyAlignment="1">
      <alignment/>
      <protection/>
    </xf>
    <xf numFmtId="0" fontId="11" fillId="0" borderId="18" xfId="64" applyFont="1" applyBorder="1" applyAlignment="1">
      <alignment/>
      <protection/>
    </xf>
    <xf numFmtId="0" fontId="45" fillId="0" borderId="15" xfId="64" applyFont="1" applyBorder="1" applyAlignment="1">
      <alignment/>
      <protection/>
    </xf>
    <xf numFmtId="0" fontId="45" fillId="0" borderId="10" xfId="64" applyFont="1" applyBorder="1" applyAlignment="1">
      <alignment/>
      <protection/>
    </xf>
    <xf numFmtId="0" fontId="45" fillId="0" borderId="15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11" fillId="0" borderId="12" xfId="64" applyFont="1" applyBorder="1" applyAlignment="1">
      <alignment vertical="center"/>
      <protection/>
    </xf>
    <xf numFmtId="0" fontId="11" fillId="0" borderId="12" xfId="64" applyFont="1" applyBorder="1" applyAlignment="1">
      <alignment/>
      <protection/>
    </xf>
    <xf numFmtId="0" fontId="11" fillId="0" borderId="15" xfId="64" applyFont="1" applyBorder="1" applyAlignment="1">
      <alignment vertical="center"/>
      <protection/>
    </xf>
    <xf numFmtId="0" fontId="45" fillId="0" borderId="18" xfId="64" applyFont="1" applyBorder="1" applyAlignment="1">
      <alignment vertical="center"/>
      <protection/>
    </xf>
    <xf numFmtId="0" fontId="45" fillId="0" borderId="12" xfId="64" applyFont="1" applyBorder="1" applyAlignment="1">
      <alignment vertical="center"/>
      <protection/>
    </xf>
    <xf numFmtId="0" fontId="13" fillId="0" borderId="15" xfId="64" applyFont="1" applyBorder="1" applyAlignment="1">
      <alignment/>
      <protection/>
    </xf>
    <xf numFmtId="0" fontId="3" fillId="0" borderId="25" xfId="64" applyFont="1" applyBorder="1" applyAlignment="1">
      <alignment/>
      <protection/>
    </xf>
    <xf numFmtId="0" fontId="45" fillId="0" borderId="28" xfId="64" applyFont="1" applyBorder="1" applyAlignment="1">
      <alignment/>
      <protection/>
    </xf>
    <xf numFmtId="0" fontId="3" fillId="0" borderId="33" xfId="64" applyFont="1" applyBorder="1" applyAlignment="1">
      <alignment/>
      <protection/>
    </xf>
    <xf numFmtId="0" fontId="45" fillId="0" borderId="28" xfId="64" applyFont="1" applyBorder="1" applyAlignment="1">
      <alignment vertical="center"/>
      <protection/>
    </xf>
    <xf numFmtId="0" fontId="2" fillId="0" borderId="15" xfId="64" applyFont="1" applyBorder="1" applyAlignment="1">
      <alignment/>
      <protection/>
    </xf>
    <xf numFmtId="0" fontId="37" fillId="0" borderId="12" xfId="64" applyFont="1" applyBorder="1" applyAlignment="1">
      <alignment/>
      <protection/>
    </xf>
    <xf numFmtId="0" fontId="37" fillId="0" borderId="21" xfId="64" applyFont="1" applyBorder="1" applyAlignment="1">
      <alignment/>
      <protection/>
    </xf>
    <xf numFmtId="0" fontId="36" fillId="0" borderId="15" xfId="64" applyFont="1" applyBorder="1" applyAlignment="1">
      <alignment/>
      <protection/>
    </xf>
    <xf numFmtId="0" fontId="33" fillId="0" borderId="15" xfId="64" applyFont="1" applyBorder="1" applyAlignment="1">
      <alignment/>
      <protection/>
    </xf>
    <xf numFmtId="0" fontId="37" fillId="0" borderId="15" xfId="64" applyFont="1" applyBorder="1" applyAlignment="1">
      <alignment/>
      <protection/>
    </xf>
    <xf numFmtId="0" fontId="33" fillId="0" borderId="33" xfId="64" applyFont="1" applyBorder="1" applyAlignment="1">
      <alignment/>
      <protection/>
    </xf>
    <xf numFmtId="0" fontId="42" fillId="0" borderId="28" xfId="64" applyFont="1" applyBorder="1" applyAlignment="1">
      <alignment/>
      <protection/>
    </xf>
    <xf numFmtId="0" fontId="37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3" fontId="37" fillId="0" borderId="21" xfId="63" applyNumberFormat="1" applyFont="1" applyBorder="1">
      <alignment/>
      <protection/>
    </xf>
    <xf numFmtId="3" fontId="36" fillId="0" borderId="15" xfId="63" applyNumberFormat="1" applyFont="1" applyBorder="1">
      <alignment/>
      <protection/>
    </xf>
    <xf numFmtId="3" fontId="37" fillId="0" borderId="15" xfId="63" applyNumberFormat="1" applyFont="1" applyBorder="1">
      <alignment/>
      <protection/>
    </xf>
    <xf numFmtId="0" fontId="37" fillId="0" borderId="27" xfId="63" applyFont="1" applyBorder="1">
      <alignment/>
      <protection/>
    </xf>
    <xf numFmtId="0" fontId="34" fillId="0" borderId="15" xfId="63" applyFont="1" applyBorder="1" applyAlignment="1">
      <alignment vertical="center"/>
      <protection/>
    </xf>
    <xf numFmtId="3" fontId="1" fillId="0" borderId="33" xfId="64" applyNumberFormat="1" applyFont="1" applyBorder="1" applyAlignment="1">
      <alignment/>
      <protection/>
    </xf>
    <xf numFmtId="3" fontId="1" fillId="0" borderId="28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37" fillId="0" borderId="18" xfId="63" applyNumberFormat="1" applyFont="1" applyBorder="1">
      <alignment/>
      <protection/>
    </xf>
    <xf numFmtId="0" fontId="42" fillId="0" borderId="25" xfId="64" applyFont="1" applyBorder="1" applyAlignment="1">
      <alignment vertical="center"/>
      <protection/>
    </xf>
    <xf numFmtId="3" fontId="36" fillId="0" borderId="33" xfId="63" applyNumberFormat="1" applyFont="1" applyBorder="1">
      <alignment/>
      <protection/>
    </xf>
    <xf numFmtId="3" fontId="36" fillId="0" borderId="20" xfId="63" applyNumberFormat="1" applyFont="1" applyBorder="1">
      <alignment/>
      <protection/>
    </xf>
    <xf numFmtId="0" fontId="33" fillId="0" borderId="34" xfId="64" applyFont="1" applyBorder="1" applyAlignment="1">
      <alignment/>
      <protection/>
    </xf>
    <xf numFmtId="3" fontId="36" fillId="0" borderId="34" xfId="63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3" applyFont="1" applyBorder="1">
      <alignment/>
      <protection/>
    </xf>
    <xf numFmtId="0" fontId="37" fillId="0" borderId="25" xfId="63" applyFont="1" applyBorder="1">
      <alignment/>
      <protection/>
    </xf>
    <xf numFmtId="0" fontId="36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4" applyFont="1" applyBorder="1" applyAlignment="1">
      <alignment/>
      <protection/>
    </xf>
    <xf numFmtId="3" fontId="37" fillId="0" borderId="34" xfId="63" applyNumberFormat="1" applyFont="1" applyBorder="1">
      <alignment/>
      <protection/>
    </xf>
    <xf numFmtId="0" fontId="34" fillId="0" borderId="25" xfId="64" applyFont="1" applyBorder="1" applyAlignment="1">
      <alignment vertical="center"/>
      <protection/>
    </xf>
    <xf numFmtId="3" fontId="37" fillId="0" borderId="10" xfId="63" applyNumberFormat="1" applyFont="1" applyBorder="1">
      <alignment/>
      <protection/>
    </xf>
    <xf numFmtId="3" fontId="36" fillId="0" borderId="24" xfId="63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9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3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8" applyFont="1" applyFill="1" applyBorder="1" applyAlignment="1">
      <alignment horizontal="center"/>
      <protection/>
    </xf>
    <xf numFmtId="0" fontId="2" fillId="0" borderId="19" xfId="68" applyFont="1" applyFill="1" applyBorder="1">
      <alignment/>
      <protection/>
    </xf>
    <xf numFmtId="0" fontId="1" fillId="0" borderId="19" xfId="68" applyFont="1" applyFill="1" applyBorder="1" applyAlignment="1">
      <alignment horizontal="right"/>
      <protection/>
    </xf>
    <xf numFmtId="0" fontId="1" fillId="0" borderId="14" xfId="68" applyFont="1" applyFill="1" applyBorder="1" applyAlignment="1">
      <alignment horizontal="center"/>
      <protection/>
    </xf>
    <xf numFmtId="0" fontId="1" fillId="0" borderId="38" xfId="68" applyFont="1" applyFill="1" applyBorder="1" applyAlignment="1">
      <alignment horizontal="center"/>
      <protection/>
    </xf>
    <xf numFmtId="0" fontId="11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0" fontId="1" fillId="0" borderId="15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1" fillId="0" borderId="15" xfId="68" applyFont="1" applyFill="1" applyBorder="1">
      <alignment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8" xfId="6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1" fillId="0" borderId="39" xfId="68" applyFont="1" applyFill="1" applyBorder="1" applyAlignment="1">
      <alignment vertical="center"/>
      <protection/>
    </xf>
    <xf numFmtId="0" fontId="2" fillId="0" borderId="31" xfId="64" applyFont="1" applyFill="1" applyBorder="1" applyAlignment="1">
      <alignment/>
      <protection/>
    </xf>
    <xf numFmtId="0" fontId="2" fillId="0" borderId="10" xfId="64" applyFont="1" applyFill="1" applyBorder="1" applyAlignment="1">
      <alignment/>
      <protection/>
    </xf>
    <xf numFmtId="0" fontId="2" fillId="0" borderId="14" xfId="64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8" applyFont="1" applyFill="1" applyBorder="1">
      <alignment/>
      <protection/>
    </xf>
    <xf numFmtId="0" fontId="11" fillId="0" borderId="16" xfId="68" applyFont="1" applyFill="1" applyBorder="1" applyProtection="1">
      <alignment/>
      <protection locked="0"/>
    </xf>
    <xf numFmtId="3" fontId="11" fillId="0" borderId="31" xfId="68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8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3" applyFill="1">
      <alignment/>
      <protection/>
    </xf>
    <xf numFmtId="0" fontId="13" fillId="0" borderId="0" xfId="73" applyFont="1" applyFill="1" applyAlignment="1">
      <alignment horizontal="center"/>
      <protection/>
    </xf>
    <xf numFmtId="0" fontId="13" fillId="0" borderId="19" xfId="73" applyFont="1" applyFill="1" applyBorder="1" applyAlignment="1">
      <alignment horizontal="right"/>
      <protection/>
    </xf>
    <xf numFmtId="0" fontId="10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0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0" fillId="0" borderId="14" xfId="73" applyFill="1" applyBorder="1">
      <alignment/>
      <protection/>
    </xf>
    <xf numFmtId="0" fontId="1" fillId="0" borderId="38" xfId="73" applyFont="1" applyFill="1" applyBorder="1" applyAlignment="1">
      <alignment horizontal="center"/>
      <protection/>
    </xf>
    <xf numFmtId="0" fontId="9" fillId="0" borderId="14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horizontal="center"/>
      <protection/>
    </xf>
    <xf numFmtId="0" fontId="13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0" fillId="0" borderId="31" xfId="73" applyFill="1" applyBorder="1">
      <alignment/>
      <protection/>
    </xf>
    <xf numFmtId="0" fontId="13" fillId="0" borderId="15" xfId="73" applyFont="1" applyFill="1" applyBorder="1">
      <alignment/>
      <protection/>
    </xf>
    <xf numFmtId="0" fontId="13" fillId="0" borderId="14" xfId="73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2" fillId="0" borderId="21" xfId="64" applyNumberFormat="1" applyFont="1" applyFill="1" applyBorder="1" applyAlignment="1">
      <alignment/>
      <protection/>
    </xf>
    <xf numFmtId="0" fontId="2" fillId="0" borderId="21" xfId="64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0" fontId="1" fillId="0" borderId="14" xfId="68" applyFont="1" applyFill="1" applyBorder="1" applyAlignment="1">
      <alignment horizontal="right"/>
      <protection/>
    </xf>
    <xf numFmtId="0" fontId="2" fillId="0" borderId="14" xfId="68" applyFont="1" applyFill="1" applyBorder="1" applyAlignment="1">
      <alignment horizontal="right"/>
      <protection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4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3" applyFont="1" applyFill="1" applyBorder="1">
      <alignment/>
      <protection/>
    </xf>
    <xf numFmtId="0" fontId="13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4" fillId="0" borderId="14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8" xfId="68" applyFont="1" applyFill="1" applyBorder="1">
      <alignment/>
      <protection/>
    </xf>
    <xf numFmtId="0" fontId="2" fillId="0" borderId="38" xfId="68" applyFont="1" applyFill="1" applyBorder="1">
      <alignment/>
      <protection/>
    </xf>
    <xf numFmtId="3" fontId="2" fillId="0" borderId="38" xfId="73" applyNumberFormat="1" applyFont="1" applyFill="1" applyBorder="1" applyAlignment="1">
      <alignment horizontal="right"/>
      <protection/>
    </xf>
    <xf numFmtId="3" fontId="1" fillId="0" borderId="3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8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8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0" fontId="2" fillId="0" borderId="0" xfId="64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8" applyNumberFormat="1" applyFont="1" applyFill="1" applyBorder="1" applyAlignment="1">
      <alignment horizontal="right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3" applyNumberFormat="1" applyFont="1" applyBorder="1" applyAlignment="1">
      <alignment vertical="center"/>
      <protection/>
    </xf>
    <xf numFmtId="3" fontId="37" fillId="0" borderId="11" xfId="63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4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4" applyFont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11" xfId="64" applyNumberFormat="1" applyFont="1" applyFill="1" applyBorder="1" applyAlignment="1">
      <alignment/>
      <protection/>
    </xf>
    <xf numFmtId="3" fontId="1" fillId="16" borderId="12" xfId="64" applyNumberFormat="1" applyFont="1" applyFill="1" applyBorder="1" applyAlignment="1">
      <alignment/>
      <protection/>
    </xf>
    <xf numFmtId="3" fontId="2" fillId="16" borderId="12" xfId="64" applyNumberFormat="1" applyFont="1" applyFill="1" applyBorder="1" applyAlignment="1">
      <alignment/>
      <protection/>
    </xf>
    <xf numFmtId="3" fontId="2" fillId="16" borderId="14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 vertical="center"/>
      <protection/>
    </xf>
    <xf numFmtId="3" fontId="2" fillId="16" borderId="21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/>
      <protection/>
    </xf>
    <xf numFmtId="3" fontId="2" fillId="16" borderId="15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/>
      <protection/>
    </xf>
    <xf numFmtId="3" fontId="1" fillId="16" borderId="14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 vertical="center"/>
      <protection/>
    </xf>
    <xf numFmtId="0" fontId="2" fillId="16" borderId="27" xfId="64" applyFont="1" applyFill="1" applyBorder="1" applyAlignment="1">
      <alignment/>
      <protection/>
    </xf>
    <xf numFmtId="0" fontId="2" fillId="16" borderId="23" xfId="64" applyFont="1" applyFill="1" applyBorder="1" applyAlignment="1">
      <alignment/>
      <protection/>
    </xf>
    <xf numFmtId="0" fontId="2" fillId="16" borderId="16" xfId="64" applyFont="1" applyFill="1" applyBorder="1" applyAlignment="1">
      <alignment/>
      <protection/>
    </xf>
    <xf numFmtId="3" fontId="1" fillId="16" borderId="32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0" fontId="2" fillId="16" borderId="46" xfId="64" applyFont="1" applyFill="1" applyBorder="1" applyAlignment="1">
      <alignment/>
      <protection/>
    </xf>
    <xf numFmtId="0" fontId="2" fillId="16" borderId="39" xfId="64" applyFont="1" applyFill="1" applyBorder="1" applyAlignment="1">
      <alignment/>
      <protection/>
    </xf>
    <xf numFmtId="3" fontId="3" fillId="16" borderId="39" xfId="64" applyNumberFormat="1" applyFont="1" applyFill="1" applyBorder="1" applyAlignment="1">
      <alignment/>
      <protection/>
    </xf>
    <xf numFmtId="0" fontId="2" fillId="16" borderId="17" xfId="64" applyFont="1" applyFill="1" applyBorder="1" applyAlignment="1">
      <alignment/>
      <protection/>
    </xf>
    <xf numFmtId="0" fontId="2" fillId="16" borderId="11" xfId="64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11" xfId="64" applyNumberFormat="1" applyFont="1" applyFill="1" applyBorder="1" applyAlignment="1">
      <alignment/>
      <protection/>
    </xf>
    <xf numFmtId="3" fontId="1" fillId="16" borderId="27" xfId="64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4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4" applyFont="1" applyFill="1" applyBorder="1" applyAlignment="1">
      <alignment/>
      <protection/>
    </xf>
    <xf numFmtId="3" fontId="3" fillId="16" borderId="16" xfId="64" applyNumberFormat="1" applyFont="1" applyFill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33" xfId="64" applyNumberFormat="1" applyFont="1" applyFill="1" applyBorder="1" applyAlignment="1">
      <alignment/>
      <protection/>
    </xf>
    <xf numFmtId="3" fontId="1" fillId="16" borderId="22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17" xfId="64" applyNumberFormat="1" applyFont="1" applyFill="1" applyBorder="1" applyAlignment="1">
      <alignment/>
      <protection/>
    </xf>
    <xf numFmtId="3" fontId="1" fillId="16" borderId="29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4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4" applyNumberFormat="1" applyFont="1" applyFill="1" applyBorder="1" applyAlignment="1">
      <alignment/>
      <protection/>
    </xf>
    <xf numFmtId="3" fontId="2" fillId="0" borderId="23" xfId="64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8" applyNumberFormat="1" applyFont="1" applyFill="1" applyBorder="1">
      <alignment/>
      <protection/>
    </xf>
    <xf numFmtId="3" fontId="37" fillId="0" borderId="13" xfId="63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64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63" applyNumberFormat="1" applyFont="1" applyBorder="1">
      <alignment/>
      <protection/>
    </xf>
    <xf numFmtId="0" fontId="37" fillId="0" borderId="12" xfId="63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2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1" fillId="0" borderId="39" xfId="64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4" applyFont="1" applyBorder="1" applyAlignment="1">
      <alignment/>
      <protection/>
    </xf>
    <xf numFmtId="0" fontId="11" fillId="0" borderId="11" xfId="64" applyFont="1" applyBorder="1" applyAlignment="1">
      <alignment/>
      <protection/>
    </xf>
    <xf numFmtId="3" fontId="37" fillId="0" borderId="0" xfId="63" applyNumberFormat="1" applyFont="1" applyBorder="1">
      <alignment/>
      <protection/>
    </xf>
    <xf numFmtId="0" fontId="37" fillId="0" borderId="0" xfId="63" applyFont="1" applyBorder="1">
      <alignment/>
      <protection/>
    </xf>
    <xf numFmtId="0" fontId="37" fillId="0" borderId="48" xfId="63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4" applyFont="1" applyFill="1" applyBorder="1" applyAlignment="1">
      <alignment/>
      <protection/>
    </xf>
    <xf numFmtId="0" fontId="2" fillId="0" borderId="38" xfId="68" applyFont="1" applyFill="1" applyBorder="1" applyAlignment="1">
      <alignment vertical="center"/>
      <protection/>
    </xf>
    <xf numFmtId="3" fontId="2" fillId="16" borderId="17" xfId="64" applyNumberFormat="1" applyFont="1" applyFill="1" applyBorder="1" applyAlignment="1">
      <alignment/>
      <protection/>
    </xf>
    <xf numFmtId="3" fontId="2" fillId="0" borderId="38" xfId="68" applyNumberFormat="1" applyFont="1" applyFill="1" applyBorder="1" applyAlignment="1">
      <alignment horizontal="right" vertical="center"/>
      <protection/>
    </xf>
    <xf numFmtId="3" fontId="1" fillId="0" borderId="38" xfId="68" applyNumberFormat="1" applyFont="1" applyFill="1" applyBorder="1" applyAlignment="1">
      <alignment horizontal="right" vertical="center"/>
      <protection/>
    </xf>
    <xf numFmtId="3" fontId="2" fillId="0" borderId="40" xfId="68" applyNumberFormat="1" applyFont="1" applyFill="1" applyBorder="1" applyAlignment="1">
      <alignment horizontal="right" vertical="center"/>
      <protection/>
    </xf>
    <xf numFmtId="3" fontId="2" fillId="16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/>
      <protection/>
    </xf>
    <xf numFmtId="3" fontId="2" fillId="0" borderId="38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/>
      <protection/>
    </xf>
    <xf numFmtId="0" fontId="2" fillId="0" borderId="38" xfId="68" applyFont="1" applyFill="1" applyBorder="1" applyAlignment="1">
      <alignment/>
      <protection/>
    </xf>
    <xf numFmtId="0" fontId="1" fillId="0" borderId="38" xfId="68" applyFont="1" applyFill="1" applyBorder="1" applyAlignment="1">
      <alignment/>
      <protection/>
    </xf>
    <xf numFmtId="3" fontId="4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2" fillId="0" borderId="16" xfId="68" applyNumberFormat="1" applyFont="1" applyFill="1" applyBorder="1" applyAlignment="1" applyProtection="1">
      <alignment horizontal="right"/>
      <protection locked="0"/>
    </xf>
    <xf numFmtId="3" fontId="2" fillId="0" borderId="38" xfId="68" applyNumberFormat="1" applyFont="1" applyFill="1" applyBorder="1" applyAlignment="1">
      <alignment/>
      <protection/>
    </xf>
    <xf numFmtId="3" fontId="1" fillId="0" borderId="38" xfId="68" applyNumberFormat="1" applyFont="1" applyFill="1" applyBorder="1" applyAlignment="1">
      <alignment/>
      <protection/>
    </xf>
    <xf numFmtId="3" fontId="2" fillId="0" borderId="39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 vertical="center"/>
      <protection/>
    </xf>
    <xf numFmtId="3" fontId="37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4" fillId="16" borderId="16" xfId="68" applyNumberFormat="1" applyFont="1" applyFill="1" applyBorder="1" applyAlignment="1">
      <alignment horizontal="right"/>
      <protection/>
    </xf>
    <xf numFmtId="3" fontId="2" fillId="16" borderId="16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 vertical="center"/>
      <protection/>
    </xf>
    <xf numFmtId="0" fontId="2" fillId="0" borderId="38" xfId="68" applyFont="1" applyFill="1" applyBorder="1" applyAlignment="1">
      <alignment horizontal="right"/>
      <protection/>
    </xf>
    <xf numFmtId="0" fontId="1" fillId="0" borderId="39" xfId="68" applyFont="1" applyFill="1" applyBorder="1" applyAlignment="1">
      <alignment horizontal="right"/>
      <protection/>
    </xf>
    <xf numFmtId="3" fontId="11" fillId="0" borderId="38" xfId="68" applyNumberFormat="1" applyFont="1" applyFill="1" applyBorder="1" applyAlignment="1">
      <alignment horizontal="right"/>
      <protection/>
    </xf>
    <xf numFmtId="3" fontId="3" fillId="0" borderId="39" xfId="68" applyNumberFormat="1" applyFont="1" applyFill="1" applyBorder="1" applyAlignment="1">
      <alignment horizontal="right"/>
      <protection/>
    </xf>
    <xf numFmtId="0" fontId="2" fillId="0" borderId="21" xfId="64" applyFont="1" applyBorder="1" applyAlignment="1">
      <alignment/>
      <protection/>
    </xf>
    <xf numFmtId="0" fontId="37" fillId="0" borderId="47" xfId="63" applyFont="1" applyBorder="1">
      <alignment/>
      <protection/>
    </xf>
    <xf numFmtId="3" fontId="2" fillId="0" borderId="16" xfId="68" applyNumberFormat="1" applyFont="1" applyFill="1" applyBorder="1" applyAlignment="1">
      <alignment/>
      <protection/>
    </xf>
    <xf numFmtId="0" fontId="2" fillId="0" borderId="40" xfId="68" applyFont="1" applyFill="1" applyBorder="1" applyAlignment="1">
      <alignment vertical="center"/>
      <protection/>
    </xf>
    <xf numFmtId="3" fontId="1" fillId="16" borderId="18" xfId="64" applyNumberFormat="1" applyFont="1" applyFill="1" applyBorder="1" applyAlignment="1">
      <alignment/>
      <protection/>
    </xf>
    <xf numFmtId="3" fontId="0" fillId="0" borderId="0" xfId="68" applyNumberFormat="1">
      <alignment/>
      <protection/>
    </xf>
    <xf numFmtId="9" fontId="1" fillId="0" borderId="14" xfId="68" applyNumberFormat="1" applyFont="1" applyFill="1" applyBorder="1">
      <alignment/>
      <protection/>
    </xf>
    <xf numFmtId="9" fontId="2" fillId="0" borderId="15" xfId="68" applyNumberFormat="1" applyFont="1" applyFill="1" applyBorder="1">
      <alignment/>
      <protection/>
    </xf>
    <xf numFmtId="9" fontId="1" fillId="0" borderId="15" xfId="68" applyNumberFormat="1" applyFont="1" applyFill="1" applyBorder="1">
      <alignment/>
      <protection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1" fillId="0" borderId="21" xfId="64" applyNumberFormat="1" applyFont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9" fontId="9" fillId="0" borderId="10" xfId="82" applyNumberFormat="1" applyFont="1" applyFill="1" applyBorder="1" applyAlignment="1">
      <alignment horizontal="right"/>
    </xf>
    <xf numFmtId="9" fontId="9" fillId="0" borderId="12" xfId="82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4" xfId="73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9" fillId="0" borderId="15" xfId="73" applyNumberFormat="1" applyFont="1" applyFill="1" applyBorder="1">
      <alignment/>
      <protection/>
    </xf>
    <xf numFmtId="9" fontId="2" fillId="0" borderId="21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64" applyNumberFormat="1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0" fillId="0" borderId="0" xfId="66">
      <alignment/>
      <protection/>
    </xf>
    <xf numFmtId="0" fontId="10" fillId="0" borderId="0" xfId="66" applyFont="1" applyAlignment="1">
      <alignment horizontal="center"/>
      <protection/>
    </xf>
    <xf numFmtId="0" fontId="10" fillId="0" borderId="0" xfId="66" applyAlignment="1">
      <alignment horizontal="center"/>
      <protection/>
    </xf>
    <xf numFmtId="0" fontId="48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10" fillId="0" borderId="19" xfId="66" applyBorder="1">
      <alignment/>
      <protection/>
    </xf>
    <xf numFmtId="0" fontId="13" fillId="0" borderId="0" xfId="66" applyFont="1" applyAlignment="1">
      <alignment horizontal="right"/>
      <protection/>
    </xf>
    <xf numFmtId="0" fontId="10" fillId="0" borderId="0" xfId="66" applyBorder="1">
      <alignment/>
      <protection/>
    </xf>
    <xf numFmtId="0" fontId="39" fillId="0" borderId="12" xfId="66" applyFont="1" applyBorder="1" applyAlignment="1">
      <alignment vertical="center"/>
      <protection/>
    </xf>
    <xf numFmtId="3" fontId="39" fillId="0" borderId="12" xfId="66" applyNumberFormat="1" applyFont="1" applyBorder="1">
      <alignment/>
      <protection/>
    </xf>
    <xf numFmtId="3" fontId="33" fillId="0" borderId="12" xfId="66" applyNumberFormat="1" applyFont="1" applyBorder="1">
      <alignment/>
      <protection/>
    </xf>
    <xf numFmtId="3" fontId="39" fillId="0" borderId="0" xfId="66" applyNumberFormat="1" applyFont="1" applyBorder="1">
      <alignment/>
      <protection/>
    </xf>
    <xf numFmtId="0" fontId="39" fillId="0" borderId="0" xfId="66" applyFont="1" applyBorder="1" applyAlignment="1">
      <alignment vertical="center"/>
      <protection/>
    </xf>
    <xf numFmtId="0" fontId="13" fillId="0" borderId="0" xfId="66" applyFont="1">
      <alignment/>
      <protection/>
    </xf>
    <xf numFmtId="0" fontId="10" fillId="0" borderId="0" xfId="66" applyBorder="1" applyAlignment="1">
      <alignment/>
      <protection/>
    </xf>
    <xf numFmtId="0" fontId="10" fillId="0" borderId="0" xfId="66" applyAlignment="1">
      <alignment/>
      <protection/>
    </xf>
    <xf numFmtId="0" fontId="0" fillId="0" borderId="42" xfId="0" applyBorder="1" applyAlignment="1">
      <alignment/>
    </xf>
    <xf numFmtId="0" fontId="33" fillId="0" borderId="13" xfId="66" applyFont="1" applyBorder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3" fillId="0" borderId="16" xfId="66" applyFont="1" applyBorder="1" applyAlignment="1">
      <alignment horizontal="center"/>
      <protection/>
    </xf>
    <xf numFmtId="0" fontId="33" fillId="0" borderId="0" xfId="66" applyFont="1" applyBorder="1" applyAlignment="1">
      <alignment horizontal="center"/>
      <protection/>
    </xf>
    <xf numFmtId="0" fontId="39" fillId="0" borderId="23" xfId="66" applyFont="1" applyBorder="1" applyAlignment="1">
      <alignment/>
      <protection/>
    </xf>
    <xf numFmtId="0" fontId="39" fillId="0" borderId="42" xfId="66" applyFont="1" applyBorder="1" applyAlignment="1">
      <alignment/>
      <protection/>
    </xf>
    <xf numFmtId="3" fontId="39" fillId="0" borderId="23" xfId="66" applyNumberFormat="1" applyFont="1" applyBorder="1">
      <alignment/>
      <protection/>
    </xf>
    <xf numFmtId="3" fontId="39" fillId="0" borderId="16" xfId="66" applyNumberFormat="1" applyFont="1" applyBorder="1">
      <alignment/>
      <protection/>
    </xf>
    <xf numFmtId="0" fontId="39" fillId="0" borderId="0" xfId="66" applyFont="1" applyBorder="1" applyAlignment="1">
      <alignment/>
      <protection/>
    </xf>
    <xf numFmtId="0" fontId="13" fillId="0" borderId="0" xfId="66" applyFont="1" applyBorder="1" applyAlignment="1">
      <alignment horizontal="right"/>
      <protection/>
    </xf>
    <xf numFmtId="0" fontId="33" fillId="0" borderId="10" xfId="66" applyFont="1" applyBorder="1" applyAlignment="1">
      <alignment horizontal="center"/>
      <protection/>
    </xf>
    <xf numFmtId="0" fontId="39" fillId="0" borderId="0" xfId="66" applyFont="1" applyBorder="1">
      <alignment/>
      <protection/>
    </xf>
    <xf numFmtId="0" fontId="13" fillId="0" borderId="19" xfId="66" applyFont="1" applyBorder="1">
      <alignment/>
      <protection/>
    </xf>
    <xf numFmtId="0" fontId="13" fillId="0" borderId="19" xfId="66" applyFont="1" applyBorder="1" applyAlignment="1">
      <alignment horizontal="right"/>
      <protection/>
    </xf>
    <xf numFmtId="0" fontId="33" fillId="0" borderId="12" xfId="66" applyFont="1" applyBorder="1" applyAlignment="1">
      <alignment horizontal="center"/>
      <protection/>
    </xf>
    <xf numFmtId="3" fontId="39" fillId="0" borderId="12" xfId="66" applyNumberFormat="1" applyFont="1" applyBorder="1" applyAlignment="1">
      <alignment horizontal="right"/>
      <protection/>
    </xf>
    <xf numFmtId="3" fontId="39" fillId="0" borderId="13" xfId="66" applyNumberFormat="1" applyFont="1" applyBorder="1" applyAlignment="1">
      <alignment horizontal="right"/>
      <protection/>
    </xf>
    <xf numFmtId="3" fontId="39" fillId="0" borderId="23" xfId="66" applyNumberFormat="1" applyFont="1" applyBorder="1" applyAlignment="1">
      <alignment horizontal="right"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39" fillId="16" borderId="12" xfId="66" applyNumberFormat="1" applyFont="1" applyFill="1" applyBorder="1">
      <alignment/>
      <protection/>
    </xf>
    <xf numFmtId="3" fontId="39" fillId="16" borderId="23" xfId="66" applyNumberFormat="1" applyFont="1" applyFill="1" applyBorder="1">
      <alignment/>
      <protection/>
    </xf>
    <xf numFmtId="3" fontId="39" fillId="18" borderId="12" xfId="66" applyNumberFormat="1" applyFont="1" applyFill="1" applyBorder="1">
      <alignment/>
      <protection/>
    </xf>
    <xf numFmtId="3" fontId="39" fillId="18" borderId="23" xfId="66" applyNumberFormat="1" applyFont="1" applyFill="1" applyBorder="1">
      <alignment/>
      <protection/>
    </xf>
    <xf numFmtId="3" fontId="39" fillId="18" borderId="12" xfId="66" applyNumberFormat="1" applyFont="1" applyFill="1" applyBorder="1" applyAlignment="1">
      <alignment horizontal="right"/>
      <protection/>
    </xf>
    <xf numFmtId="0" fontId="33" fillId="0" borderId="35" xfId="66" applyFont="1" applyBorder="1" applyAlignment="1">
      <alignment horizontal="center"/>
      <protection/>
    </xf>
    <xf numFmtId="0" fontId="39" fillId="0" borderId="27" xfId="66" applyFont="1" applyBorder="1" applyAlignment="1">
      <alignment/>
      <protection/>
    </xf>
    <xf numFmtId="0" fontId="0" fillId="0" borderId="41" xfId="0" applyBorder="1" applyAlignment="1">
      <alignment/>
    </xf>
    <xf numFmtId="0" fontId="10" fillId="0" borderId="0" xfId="70">
      <alignment/>
      <protection/>
    </xf>
    <xf numFmtId="0" fontId="34" fillId="0" borderId="0" xfId="70" applyFont="1" applyAlignment="1">
      <alignment horizontal="center"/>
      <protection/>
    </xf>
    <xf numFmtId="0" fontId="10" fillId="0" borderId="19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9" fillId="0" borderId="16" xfId="70" applyFont="1" applyBorder="1">
      <alignment/>
      <protection/>
    </xf>
    <xf numFmtId="0" fontId="49" fillId="0" borderId="0" xfId="70" applyFont="1" applyBorder="1">
      <alignment/>
      <protection/>
    </xf>
    <xf numFmtId="0" fontId="49" fillId="0" borderId="20" xfId="70" applyFont="1" applyBorder="1">
      <alignment/>
      <protection/>
    </xf>
    <xf numFmtId="3" fontId="49" fillId="0" borderId="31" xfId="70" applyNumberFormat="1" applyFont="1" applyBorder="1">
      <alignment/>
      <protection/>
    </xf>
    <xf numFmtId="3" fontId="49" fillId="0" borderId="10" xfId="70" applyNumberFormat="1" applyFont="1" applyBorder="1">
      <alignment/>
      <protection/>
    </xf>
    <xf numFmtId="0" fontId="49" fillId="0" borderId="17" xfId="70" applyFont="1" applyBorder="1">
      <alignment/>
      <protection/>
    </xf>
    <xf numFmtId="0" fontId="49" fillId="0" borderId="35" xfId="70" applyFont="1" applyBorder="1">
      <alignment/>
      <protection/>
    </xf>
    <xf numFmtId="0" fontId="49" fillId="0" borderId="47" xfId="70" applyFont="1" applyBorder="1">
      <alignment/>
      <protection/>
    </xf>
    <xf numFmtId="3" fontId="49" fillId="0" borderId="13" xfId="70" applyNumberFormat="1" applyFont="1" applyBorder="1">
      <alignment/>
      <protection/>
    </xf>
    <xf numFmtId="0" fontId="50" fillId="0" borderId="38" xfId="70" applyFont="1" applyBorder="1">
      <alignment/>
      <protection/>
    </xf>
    <xf numFmtId="0" fontId="49" fillId="0" borderId="49" xfId="70" applyFont="1" applyBorder="1">
      <alignment/>
      <protection/>
    </xf>
    <xf numFmtId="0" fontId="49" fillId="0" borderId="26" xfId="70" applyFont="1" applyBorder="1">
      <alignment/>
      <protection/>
    </xf>
    <xf numFmtId="3" fontId="50" fillId="0" borderId="10" xfId="70" applyNumberFormat="1" applyFont="1" applyBorder="1">
      <alignment/>
      <protection/>
    </xf>
    <xf numFmtId="3" fontId="42" fillId="0" borderId="31" xfId="70" applyNumberFormat="1" applyFont="1" applyBorder="1" applyAlignment="1">
      <alignment vertical="center"/>
      <protection/>
    </xf>
    <xf numFmtId="3" fontId="42" fillId="0" borderId="10" xfId="70" applyNumberFormat="1" applyFont="1" applyBorder="1" applyAlignment="1">
      <alignment vertical="center"/>
      <protection/>
    </xf>
    <xf numFmtId="0" fontId="52" fillId="0" borderId="0" xfId="70" applyFont="1" applyBorder="1" applyAlignment="1">
      <alignment horizontal="center" vertical="center" wrapText="1"/>
      <protection/>
    </xf>
    <xf numFmtId="3" fontId="42" fillId="0" borderId="10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3" fontId="53" fillId="0" borderId="10" xfId="70" applyNumberFormat="1" applyFont="1" applyBorder="1">
      <alignment/>
      <protection/>
    </xf>
    <xf numFmtId="3" fontId="50" fillId="0" borderId="14" xfId="70" applyNumberFormat="1" applyFont="1" applyBorder="1">
      <alignment/>
      <protection/>
    </xf>
    <xf numFmtId="0" fontId="10" fillId="0" borderId="0" xfId="70" applyBorder="1" applyAlignment="1">
      <alignment horizontal="center" vertical="center"/>
      <protection/>
    </xf>
    <xf numFmtId="0" fontId="49" fillId="0" borderId="0" xfId="70" applyFont="1" applyBorder="1" applyAlignment="1">
      <alignment horizontal="center" vertical="center"/>
      <protection/>
    </xf>
    <xf numFmtId="0" fontId="10" fillId="0" borderId="0" xfId="67">
      <alignment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0" fillId="0" borderId="19" xfId="67" applyBorder="1">
      <alignment/>
      <protection/>
    </xf>
    <xf numFmtId="0" fontId="10" fillId="0" borderId="0" xfId="67" applyBorder="1">
      <alignment/>
      <protection/>
    </xf>
    <xf numFmtId="0" fontId="10" fillId="0" borderId="12" xfId="67" applyBorder="1">
      <alignment/>
      <protection/>
    </xf>
    <xf numFmtId="0" fontId="13" fillId="0" borderId="35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35" xfId="67" applyBorder="1" applyAlignment="1">
      <alignment horizontal="right" vertical="center"/>
      <protection/>
    </xf>
    <xf numFmtId="0" fontId="10" fillId="0" borderId="0" xfId="67" applyBorder="1" applyAlignment="1">
      <alignment/>
      <protection/>
    </xf>
    <xf numFmtId="0" fontId="13" fillId="0" borderId="0" xfId="67" applyFont="1" applyBorder="1" applyAlignment="1">
      <alignment/>
      <protection/>
    </xf>
    <xf numFmtId="0" fontId="10" fillId="0" borderId="0" xfId="67" applyBorder="1" applyAlignment="1">
      <alignment horizontal="right" vertical="center"/>
      <protection/>
    </xf>
    <xf numFmtId="0" fontId="10" fillId="0" borderId="10" xfId="67" applyBorder="1" applyAlignment="1">
      <alignment horizontal="right" vertical="center"/>
      <protection/>
    </xf>
    <xf numFmtId="0" fontId="10" fillId="0" borderId="0" xfId="74">
      <alignment/>
      <protection/>
    </xf>
    <xf numFmtId="0" fontId="10" fillId="0" borderId="19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4" fillId="0" borderId="12" xfId="74" applyFont="1" applyBorder="1">
      <alignment/>
      <protection/>
    </xf>
    <xf numFmtId="0" fontId="13" fillId="0" borderId="10" xfId="74" applyFont="1" applyBorder="1" applyAlignment="1">
      <alignment horizontal="center"/>
      <protection/>
    </xf>
    <xf numFmtId="0" fontId="54" fillId="0" borderId="10" xfId="74" applyFont="1" applyBorder="1" applyAlignment="1">
      <alignment/>
      <protection/>
    </xf>
    <xf numFmtId="0" fontId="54" fillId="0" borderId="0" xfId="74" applyFont="1">
      <alignment/>
      <protection/>
    </xf>
    <xf numFmtId="0" fontId="54" fillId="0" borderId="10" xfId="74" applyFont="1" applyBorder="1">
      <alignment/>
      <protection/>
    </xf>
    <xf numFmtId="3" fontId="54" fillId="0" borderId="10" xfId="74" applyNumberFormat="1" applyFont="1" applyBorder="1">
      <alignment/>
      <protection/>
    </xf>
    <xf numFmtId="0" fontId="46" fillId="0" borderId="10" xfId="74" applyFont="1" applyBorder="1">
      <alignment/>
      <protection/>
    </xf>
    <xf numFmtId="0" fontId="13" fillId="0" borderId="11" xfId="74" applyFont="1" applyBorder="1" applyAlignment="1">
      <alignment horizontal="center"/>
      <protection/>
    </xf>
    <xf numFmtId="0" fontId="54" fillId="0" borderId="19" xfId="74" applyFont="1" applyBorder="1">
      <alignment/>
      <protection/>
    </xf>
    <xf numFmtId="0" fontId="54" fillId="0" borderId="11" xfId="74" applyFont="1" applyBorder="1">
      <alignment/>
      <protection/>
    </xf>
    <xf numFmtId="3" fontId="54" fillId="0" borderId="11" xfId="74" applyNumberFormat="1" applyFont="1" applyBorder="1">
      <alignment/>
      <protection/>
    </xf>
    <xf numFmtId="0" fontId="46" fillId="0" borderId="11" xfId="74" applyFont="1" applyBorder="1">
      <alignment/>
      <protection/>
    </xf>
    <xf numFmtId="0" fontId="10" fillId="0" borderId="0" xfId="72">
      <alignment/>
      <protection/>
    </xf>
    <xf numFmtId="0" fontId="54" fillId="0" borderId="0" xfId="72" applyFont="1">
      <alignment/>
      <protection/>
    </xf>
    <xf numFmtId="0" fontId="56" fillId="0" borderId="0" xfId="72" applyFont="1" applyAlignment="1">
      <alignment horizontal="center" vertical="center"/>
      <protection/>
    </xf>
    <xf numFmtId="0" fontId="10" fillId="0" borderId="0" xfId="72" applyFont="1">
      <alignment/>
      <protection/>
    </xf>
    <xf numFmtId="0" fontId="10" fillId="0" borderId="47" xfId="72" applyBorder="1">
      <alignment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10" fillId="0" borderId="41" xfId="72" applyBorder="1">
      <alignment/>
      <protection/>
    </xf>
    <xf numFmtId="0" fontId="57" fillId="0" borderId="12" xfId="72" applyFont="1" applyBorder="1" applyAlignment="1">
      <alignment horizontal="center" vertical="center" wrapText="1"/>
      <protection/>
    </xf>
    <xf numFmtId="1" fontId="13" fillId="0" borderId="12" xfId="72" applyNumberFormat="1" applyFont="1" applyBorder="1" applyAlignment="1">
      <alignment horizontal="center" vertical="center"/>
      <protection/>
    </xf>
    <xf numFmtId="0" fontId="57" fillId="0" borderId="11" xfId="72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2" applyNumberFormat="1" applyFont="1" applyFill="1" applyBorder="1" applyAlignment="1">
      <alignment vertical="center"/>
      <protection/>
    </xf>
    <xf numFmtId="3" fontId="34" fillId="16" borderId="11" xfId="72" applyNumberFormat="1" applyFont="1" applyFill="1" applyBorder="1" applyAlignment="1">
      <alignment vertical="center"/>
      <protection/>
    </xf>
    <xf numFmtId="0" fontId="10" fillId="0" borderId="12" xfId="72" applyBorder="1">
      <alignment/>
      <protection/>
    </xf>
    <xf numFmtId="0" fontId="58" fillId="0" borderId="11" xfId="72" applyFont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3" fontId="59" fillId="0" borderId="11" xfId="72" applyNumberFormat="1" applyFont="1" applyBorder="1" applyAlignment="1">
      <alignment vertical="center"/>
      <protection/>
    </xf>
    <xf numFmtId="3" fontId="59" fillId="0" borderId="11" xfId="72" applyNumberFormat="1" applyFont="1" applyFill="1" applyBorder="1" applyAlignment="1">
      <alignment vertical="center"/>
      <protection/>
    </xf>
    <xf numFmtId="0" fontId="59" fillId="0" borderId="11" xfId="72" applyFont="1" applyBorder="1" applyAlignment="1">
      <alignment vertical="center"/>
      <protection/>
    </xf>
    <xf numFmtId="0" fontId="35" fillId="0" borderId="12" xfId="72" applyFont="1" applyBorder="1" applyAlignment="1">
      <alignment horizontal="left" vertical="center"/>
      <protection/>
    </xf>
    <xf numFmtId="0" fontId="57" fillId="0" borderId="12" xfId="72" applyFont="1" applyBorder="1" applyAlignment="1">
      <alignment vertical="center"/>
      <protection/>
    </xf>
    <xf numFmtId="0" fontId="59" fillId="0" borderId="12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59" fillId="0" borderId="12" xfId="72" applyNumberFormat="1" applyFont="1" applyBorder="1" applyAlignment="1">
      <alignment vertical="center"/>
      <protection/>
    </xf>
    <xf numFmtId="3" fontId="59" fillId="0" borderId="12" xfId="72" applyNumberFormat="1" applyFont="1" applyFill="1" applyBorder="1" applyAlignment="1">
      <alignment vertical="center"/>
      <protection/>
    </xf>
    <xf numFmtId="3" fontId="57" fillId="0" borderId="12" xfId="72" applyNumberFormat="1" applyFont="1" applyBorder="1" applyAlignment="1">
      <alignment vertical="center"/>
      <protection/>
    </xf>
    <xf numFmtId="0" fontId="59" fillId="0" borderId="12" xfId="72" applyFont="1" applyBorder="1" applyAlignment="1">
      <alignment vertical="center" wrapText="1"/>
      <protection/>
    </xf>
    <xf numFmtId="3" fontId="13" fillId="0" borderId="12" xfId="72" applyNumberFormat="1" applyFont="1" applyBorder="1">
      <alignment/>
      <protection/>
    </xf>
    <xf numFmtId="3" fontId="57" fillId="0" borderId="12" xfId="72" applyNumberFormat="1" applyFont="1" applyFill="1" applyBorder="1" applyAlignment="1">
      <alignment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13" fillId="0" borderId="12" xfId="72" applyFont="1" applyBorder="1">
      <alignment/>
      <protection/>
    </xf>
    <xf numFmtId="3" fontId="13" fillId="0" borderId="12" xfId="72" applyNumberFormat="1" applyFont="1" applyBorder="1" applyAlignment="1">
      <alignment vertical="center"/>
      <protection/>
    </xf>
    <xf numFmtId="1" fontId="10" fillId="0" borderId="12" xfId="72" applyNumberFormat="1" applyFont="1" applyBorder="1" applyAlignment="1">
      <alignment horizontal="center" vertical="center"/>
      <protection/>
    </xf>
    <xf numFmtId="3" fontId="33" fillId="0" borderId="12" xfId="72" applyNumberFormat="1" applyFont="1" applyBorder="1" applyAlignment="1">
      <alignment vertical="center"/>
      <protection/>
    </xf>
    <xf numFmtId="0" fontId="55" fillId="0" borderId="12" xfId="72" applyFont="1" applyBorder="1" applyAlignment="1">
      <alignment vertical="center"/>
      <protection/>
    </xf>
    <xf numFmtId="3" fontId="57" fillId="18" borderId="12" xfId="72" applyNumberFormat="1" applyFont="1" applyFill="1" applyBorder="1" applyAlignment="1">
      <alignment vertical="center"/>
      <protection/>
    </xf>
    <xf numFmtId="3" fontId="10" fillId="0" borderId="0" xfId="72" applyNumberFormat="1">
      <alignment/>
      <protection/>
    </xf>
    <xf numFmtId="0" fontId="10" fillId="0" borderId="19" xfId="72" applyBorder="1">
      <alignment/>
      <protection/>
    </xf>
    <xf numFmtId="0" fontId="60" fillId="0" borderId="0" xfId="72" applyFont="1" applyAlignment="1">
      <alignment vertical="center"/>
      <protection/>
    </xf>
    <xf numFmtId="0" fontId="10" fillId="0" borderId="13" xfId="72" applyBorder="1">
      <alignment/>
      <protection/>
    </xf>
    <xf numFmtId="0" fontId="57" fillId="0" borderId="12" xfId="72" applyFont="1" applyFill="1" applyBorder="1" applyAlignment="1">
      <alignment horizontal="center" vertical="center" wrapText="1"/>
      <protection/>
    </xf>
    <xf numFmtId="0" fontId="10" fillId="0" borderId="11" xfId="72" applyBorder="1">
      <alignment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0" fontId="10" fillId="0" borderId="11" xfId="72" applyBorder="1" applyAlignment="1">
      <alignment horizontal="center" vertical="center" wrapText="1"/>
      <protection/>
    </xf>
    <xf numFmtId="1" fontId="10" fillId="0" borderId="12" xfId="72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2" applyNumberFormat="1" applyFont="1" applyFill="1" applyBorder="1" applyAlignment="1">
      <alignment horizontal="right" vertical="center" wrapText="1"/>
      <protection/>
    </xf>
    <xf numFmtId="3" fontId="10" fillId="0" borderId="12" xfId="72" applyNumberFormat="1" applyFont="1" applyBorder="1" applyAlignment="1">
      <alignment vertical="center"/>
      <protection/>
    </xf>
    <xf numFmtId="3" fontId="10" fillId="0" borderId="12" xfId="72" applyNumberFormat="1" applyFont="1" applyBorder="1" applyAlignment="1">
      <alignment horizontal="right" vertical="center"/>
      <protection/>
    </xf>
    <xf numFmtId="0" fontId="10" fillId="0" borderId="42" xfId="72" applyFont="1" applyBorder="1">
      <alignment/>
      <protection/>
    </xf>
    <xf numFmtId="1" fontId="10" fillId="0" borderId="12" xfId="72" applyNumberFormat="1" applyBorder="1" applyAlignment="1">
      <alignment vertical="center"/>
      <protection/>
    </xf>
    <xf numFmtId="0" fontId="61" fillId="0" borderId="12" xfId="72" applyFont="1" applyFill="1" applyBorder="1" applyAlignment="1">
      <alignment horizontal="left" vertical="center" wrapText="1"/>
      <protection/>
    </xf>
    <xf numFmtId="3" fontId="59" fillId="0" borderId="12" xfId="72" applyNumberFormat="1" applyFont="1" applyFill="1" applyBorder="1" applyAlignment="1">
      <alignment horizontal="right" vertical="center" wrapText="1"/>
      <protection/>
    </xf>
    <xf numFmtId="0" fontId="59" fillId="0" borderId="12" xfId="72" applyFont="1" applyFill="1" applyBorder="1" applyAlignment="1">
      <alignment horizontal="right" vertical="center" wrapText="1"/>
      <protection/>
    </xf>
    <xf numFmtId="0" fontId="57" fillId="0" borderId="42" xfId="72" applyFont="1" applyFill="1" applyBorder="1" applyAlignment="1">
      <alignment horizontal="center" vertical="center" wrapText="1"/>
      <protection/>
    </xf>
    <xf numFmtId="0" fontId="10" fillId="0" borderId="12" xfId="72" applyFont="1" applyBorder="1" applyAlignment="1">
      <alignment horizontal="right" vertical="center"/>
      <protection/>
    </xf>
    <xf numFmtId="0" fontId="10" fillId="0" borderId="12" xfId="72" applyFont="1" applyFill="1" applyBorder="1" applyAlignment="1">
      <alignment vertical="center"/>
      <protection/>
    </xf>
    <xf numFmtId="0" fontId="62" fillId="0" borderId="12" xfId="72" applyFont="1" applyFill="1" applyBorder="1" applyAlignment="1">
      <alignment horizontal="center" vertical="center" wrapText="1"/>
      <protection/>
    </xf>
    <xf numFmtId="0" fontId="61" fillId="0" borderId="12" xfId="72" applyFont="1" applyFill="1" applyBorder="1" applyAlignment="1">
      <alignment horizontal="right" vertical="center" wrapText="1"/>
      <protection/>
    </xf>
    <xf numFmtId="3" fontId="61" fillId="0" borderId="12" xfId="72" applyNumberFormat="1" applyFont="1" applyFill="1" applyBorder="1" applyAlignment="1">
      <alignment horizontal="right" vertical="center"/>
      <protection/>
    </xf>
    <xf numFmtId="3" fontId="61" fillId="0" borderId="12" xfId="72" applyNumberFormat="1" applyFont="1" applyFill="1" applyBorder="1" applyAlignment="1">
      <alignment vertical="center"/>
      <protection/>
    </xf>
    <xf numFmtId="2" fontId="10" fillId="0" borderId="12" xfId="72" applyNumberFormat="1" applyFont="1" applyFill="1" applyBorder="1" applyAlignment="1">
      <alignment vertical="center"/>
      <protection/>
    </xf>
    <xf numFmtId="0" fontId="10" fillId="0" borderId="12" xfId="72" applyFont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2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2" xfId="72" applyFont="1" applyBorder="1" applyAlignment="1">
      <alignment vertical="center" wrapText="1"/>
      <protection/>
    </xf>
    <xf numFmtId="3" fontId="10" fillId="0" borderId="42" xfId="72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2" applyNumberFormat="1" applyFont="1" applyBorder="1" applyAlignment="1">
      <alignment vertical="center"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2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2" applyFont="1" applyFill="1" applyBorder="1" applyAlignment="1">
      <alignment vertical="center" wrapText="1"/>
      <protection/>
    </xf>
    <xf numFmtId="0" fontId="57" fillId="0" borderId="11" xfId="72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9" xfId="60" applyBorder="1">
      <alignment/>
      <protection/>
    </xf>
    <xf numFmtId="0" fontId="1" fillId="0" borderId="49" xfId="62" applyFont="1" applyBorder="1" applyAlignment="1">
      <alignment horizontal="right"/>
      <protection/>
    </xf>
    <xf numFmtId="0" fontId="34" fillId="0" borderId="14" xfId="60" applyFont="1" applyBorder="1" applyAlignment="1">
      <alignment horizontal="center"/>
      <protection/>
    </xf>
    <xf numFmtId="0" fontId="64" fillId="0" borderId="39" xfId="60" applyFont="1" applyBorder="1" applyAlignment="1">
      <alignment/>
      <protection/>
    </xf>
    <xf numFmtId="0" fontId="65" fillId="0" borderId="50" xfId="60" applyFont="1" applyBorder="1" applyAlignment="1">
      <alignment/>
      <protection/>
    </xf>
    <xf numFmtId="0" fontId="65" fillId="0" borderId="50" xfId="60" applyFont="1" applyBorder="1" applyAlignment="1">
      <alignment horizontal="center"/>
      <protection/>
    </xf>
    <xf numFmtId="0" fontId="65" fillId="0" borderId="50" xfId="60" applyFont="1" applyBorder="1">
      <alignment/>
      <protection/>
    </xf>
    <xf numFmtId="0" fontId="65" fillId="0" borderId="45" xfId="60" applyFont="1" applyBorder="1">
      <alignment/>
      <protection/>
    </xf>
    <xf numFmtId="0" fontId="64" fillId="0" borderId="38" xfId="60" applyFont="1" applyBorder="1" applyAlignment="1">
      <alignment vertical="center"/>
      <protection/>
    </xf>
    <xf numFmtId="0" fontId="64" fillId="0" borderId="26" xfId="60" applyFont="1" applyBorder="1">
      <alignment/>
      <protection/>
    </xf>
    <xf numFmtId="3" fontId="33" fillId="0" borderId="14" xfId="60" applyNumberFormat="1" applyFont="1" applyBorder="1">
      <alignment/>
      <protection/>
    </xf>
    <xf numFmtId="3" fontId="33" fillId="0" borderId="26" xfId="60" applyNumberFormat="1" applyFont="1" applyBorder="1">
      <alignment/>
      <protection/>
    </xf>
    <xf numFmtId="0" fontId="64" fillId="0" borderId="39" xfId="60" applyFont="1" applyBorder="1" applyAlignment="1">
      <alignment horizontal="left"/>
      <protection/>
    </xf>
    <xf numFmtId="0" fontId="39" fillId="0" borderId="50" xfId="60" applyFont="1" applyBorder="1">
      <alignment/>
      <protection/>
    </xf>
    <xf numFmtId="0" fontId="39" fillId="0" borderId="45" xfId="60" applyFont="1" applyBorder="1">
      <alignment/>
      <protection/>
    </xf>
    <xf numFmtId="0" fontId="64" fillId="0" borderId="38" xfId="60" applyFont="1" applyBorder="1">
      <alignment/>
      <protection/>
    </xf>
    <xf numFmtId="0" fontId="65" fillId="0" borderId="26" xfId="60" applyFont="1" applyBorder="1">
      <alignment/>
      <protection/>
    </xf>
    <xf numFmtId="0" fontId="0" fillId="0" borderId="0" xfId="60" applyBorder="1">
      <alignment/>
      <protection/>
    </xf>
    <xf numFmtId="0" fontId="10" fillId="0" borderId="0" xfId="69">
      <alignment/>
      <protection/>
    </xf>
    <xf numFmtId="0" fontId="10" fillId="0" borderId="0" xfId="69" applyAlignment="1">
      <alignment vertical="center"/>
      <protection/>
    </xf>
    <xf numFmtId="0" fontId="13" fillId="0" borderId="0" xfId="69" applyFont="1" applyAlignment="1">
      <alignment horizontal="right"/>
      <protection/>
    </xf>
    <xf numFmtId="0" fontId="10" fillId="0" borderId="0" xfId="69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37" fillId="0" borderId="10" xfId="64" applyFont="1" applyBorder="1" applyAlignment="1">
      <alignment/>
      <protection/>
    </xf>
    <xf numFmtId="0" fontId="37" fillId="0" borderId="13" xfId="65" applyFont="1" applyBorder="1" applyAlignment="1">
      <alignment/>
      <protection/>
    </xf>
    <xf numFmtId="0" fontId="37" fillId="0" borderId="37" xfId="64" applyFont="1" applyBorder="1" applyAlignment="1">
      <alignment/>
      <protection/>
    </xf>
    <xf numFmtId="3" fontId="37" fillId="0" borderId="37" xfId="63" applyNumberFormat="1" applyFont="1" applyBorder="1">
      <alignment/>
      <protection/>
    </xf>
    <xf numFmtId="0" fontId="37" fillId="0" borderId="52" xfId="63" applyFont="1" applyBorder="1">
      <alignment/>
      <protection/>
    </xf>
    <xf numFmtId="0" fontId="0" fillId="0" borderId="10" xfId="0" applyFont="1" applyFill="1" applyBorder="1" applyAlignment="1">
      <alignment vertical="center"/>
    </xf>
    <xf numFmtId="0" fontId="49" fillId="0" borderId="40" xfId="70" applyFont="1" applyBorder="1">
      <alignment/>
      <protection/>
    </xf>
    <xf numFmtId="0" fontId="49" fillId="0" borderId="53" xfId="70" applyFont="1" applyBorder="1">
      <alignment/>
      <protection/>
    </xf>
    <xf numFmtId="0" fontId="49" fillId="0" borderId="44" xfId="70" applyFont="1" applyBorder="1">
      <alignment/>
      <protection/>
    </xf>
    <xf numFmtId="0" fontId="49" fillId="0" borderId="38" xfId="70" applyFont="1" applyBorder="1">
      <alignment/>
      <protection/>
    </xf>
    <xf numFmtId="3" fontId="42" fillId="0" borderId="14" xfId="70" applyNumberFormat="1" applyFont="1" applyBorder="1" applyAlignment="1">
      <alignment vertical="center"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59" fillId="0" borderId="11" xfId="72" applyFont="1" applyBorder="1" applyAlignment="1">
      <alignment vertical="center" wrapText="1"/>
      <protection/>
    </xf>
    <xf numFmtId="3" fontId="8" fillId="18" borderId="11" xfId="0" applyNumberFormat="1" applyFont="1" applyFill="1" applyBorder="1" applyAlignment="1">
      <alignment horizontal="right"/>
    </xf>
    <xf numFmtId="3" fontId="66" fillId="18" borderId="11" xfId="0" applyNumberFormat="1" applyFont="1" applyFill="1" applyBorder="1" applyAlignment="1">
      <alignment horizontal="right" vertical="center"/>
    </xf>
    <xf numFmtId="3" fontId="35" fillId="18" borderId="11" xfId="72" applyNumberFormat="1" applyFont="1" applyFill="1" applyBorder="1" applyAlignment="1">
      <alignment horizontal="right" vertical="center"/>
      <protection/>
    </xf>
    <xf numFmtId="3" fontId="34" fillId="18" borderId="12" xfId="72" applyNumberFormat="1" applyFont="1" applyFill="1" applyBorder="1" applyAlignment="1">
      <alignment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59" fillId="18" borderId="11" xfId="72" applyNumberFormat="1" applyFont="1" applyFill="1" applyBorder="1" applyAlignment="1">
      <alignment horizontal="right" vertical="center" wrapText="1"/>
      <protection/>
    </xf>
    <xf numFmtId="3" fontId="10" fillId="18" borderId="12" xfId="72" applyNumberFormat="1" applyFill="1" applyBorder="1" applyAlignment="1">
      <alignment vertical="center"/>
      <protection/>
    </xf>
    <xf numFmtId="3" fontId="61" fillId="18" borderId="12" xfId="72" applyNumberFormat="1" applyFont="1" applyFill="1" applyBorder="1" applyAlignment="1">
      <alignment horizontal="right" vertical="center" wrapText="1"/>
      <protection/>
    </xf>
    <xf numFmtId="0" fontId="59" fillId="0" borderId="42" xfId="72" applyFont="1" applyFill="1" applyBorder="1" applyAlignment="1">
      <alignment horizontal="right" vertical="center" wrapText="1"/>
      <protection/>
    </xf>
    <xf numFmtId="3" fontId="10" fillId="18" borderId="42" xfId="72" applyNumberFormat="1" applyFont="1" applyFill="1" applyBorder="1">
      <alignment/>
      <protection/>
    </xf>
    <xf numFmtId="3" fontId="35" fillId="0" borderId="12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3" fontId="2" fillId="0" borderId="10" xfId="64" applyNumberFormat="1" applyFont="1" applyBorder="1" applyAlignment="1">
      <alignment/>
      <protection/>
    </xf>
    <xf numFmtId="0" fontId="13" fillId="0" borderId="0" xfId="63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10" fillId="0" borderId="0" xfId="67" applyBorder="1" applyAlignment="1">
      <alignment horizontal="right"/>
      <protection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5" fillId="0" borderId="0" xfId="0" applyFont="1" applyBorder="1" applyAlignment="1">
      <alignment vertical="center"/>
    </xf>
    <xf numFmtId="9" fontId="2" fillId="0" borderId="21" xfId="0" applyNumberFormat="1" applyFont="1" applyFill="1" applyBorder="1" applyAlignment="1">
      <alignment/>
    </xf>
    <xf numFmtId="9" fontId="9" fillId="0" borderId="10" xfId="73" applyNumberFormat="1" applyFont="1" applyFill="1" applyBorder="1">
      <alignment/>
      <protection/>
    </xf>
    <xf numFmtId="0" fontId="4" fillId="0" borderId="1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37" fillId="0" borderId="35" xfId="63" applyFont="1" applyBorder="1">
      <alignment/>
      <protection/>
    </xf>
    <xf numFmtId="3" fontId="36" fillId="0" borderId="0" xfId="63" applyNumberFormat="1" applyFont="1" applyBorder="1">
      <alignment/>
      <protection/>
    </xf>
    <xf numFmtId="3" fontId="37" fillId="0" borderId="48" xfId="63" applyNumberFormat="1" applyFont="1" applyBorder="1">
      <alignment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3" fontId="10" fillId="0" borderId="12" xfId="72" applyNumberFormat="1" applyFill="1" applyBorder="1" applyAlignment="1">
      <alignment vertical="center"/>
      <protection/>
    </xf>
    <xf numFmtId="0" fontId="57" fillId="0" borderId="12" xfId="72" applyFont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left"/>
    </xf>
    <xf numFmtId="0" fontId="35" fillId="0" borderId="27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0" fillId="0" borderId="38" xfId="68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3" fontId="50" fillId="0" borderId="11" xfId="70" applyNumberFormat="1" applyFont="1" applyBorder="1">
      <alignment/>
      <protection/>
    </xf>
    <xf numFmtId="3" fontId="35" fillId="0" borderId="47" xfId="0" applyNumberFormat="1" applyFont="1" applyFill="1" applyBorder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3" fontId="43" fillId="0" borderId="10" xfId="82" applyNumberFormat="1" applyFont="1" applyFill="1" applyBorder="1" applyAlignment="1">
      <alignment horizontal="right"/>
    </xf>
    <xf numFmtId="3" fontId="34" fillId="0" borderId="28" xfId="63" applyNumberFormat="1" applyFont="1" applyFill="1" applyBorder="1" applyAlignment="1">
      <alignment vertical="center"/>
      <protection/>
    </xf>
    <xf numFmtId="0" fontId="35" fillId="0" borderId="12" xfId="0" applyFont="1" applyFill="1" applyBorder="1" applyAlignment="1">
      <alignment horizontal="left"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41" fillId="0" borderId="23" xfId="63" applyFont="1" applyBorder="1">
      <alignment/>
      <protection/>
    </xf>
    <xf numFmtId="3" fontId="38" fillId="0" borderId="42" xfId="63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8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8" applyNumberFormat="1" applyFont="1" applyFill="1" applyBorder="1" applyAlignment="1">
      <alignment horizontal="right"/>
      <protection/>
    </xf>
    <xf numFmtId="3" fontId="13" fillId="0" borderId="12" xfId="72" applyNumberFormat="1" applyFont="1" applyFill="1" applyBorder="1" applyAlignment="1">
      <alignment vertical="center"/>
      <protection/>
    </xf>
    <xf numFmtId="3" fontId="34" fillId="0" borderId="12" xfId="0" applyNumberFormat="1" applyFont="1" applyFill="1" applyBorder="1" applyAlignment="1">
      <alignment vertical="center"/>
    </xf>
    <xf numFmtId="0" fontId="10" fillId="0" borderId="12" xfId="66" applyBorder="1">
      <alignment/>
      <protection/>
    </xf>
    <xf numFmtId="0" fontId="37" fillId="0" borderId="0" xfId="63" applyFont="1">
      <alignment/>
      <protection/>
    </xf>
    <xf numFmtId="9" fontId="4" fillId="0" borderId="12" xfId="0" applyNumberFormat="1" applyFont="1" applyBorder="1" applyAlignment="1">
      <alignment/>
    </xf>
    <xf numFmtId="3" fontId="37" fillId="0" borderId="35" xfId="63" applyNumberFormat="1" applyFont="1" applyBorder="1">
      <alignment/>
      <protection/>
    </xf>
    <xf numFmtId="3" fontId="37" fillId="0" borderId="47" xfId="63" applyNumberFormat="1" applyFont="1" applyBorder="1">
      <alignment/>
      <protection/>
    </xf>
    <xf numFmtId="0" fontId="2" fillId="0" borderId="0" xfId="0" applyFont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0" borderId="12" xfId="66" applyFont="1" applyBorder="1">
      <alignment/>
      <protection/>
    </xf>
    <xf numFmtId="3" fontId="2" fillId="0" borderId="39" xfId="68" applyNumberFormat="1" applyFont="1" applyFill="1" applyBorder="1" applyAlignment="1">
      <alignment horizontal="right"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9" fontId="2" fillId="0" borderId="11" xfId="0" applyNumberFormat="1" applyFont="1" applyBorder="1" applyAlignment="1">
      <alignment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 vertical="center"/>
    </xf>
    <xf numFmtId="3" fontId="39" fillId="18" borderId="13" xfId="66" applyNumberFormat="1" applyFont="1" applyFill="1" applyBorder="1" applyAlignment="1">
      <alignment horizontal="right"/>
      <protection/>
    </xf>
    <xf numFmtId="0" fontId="0" fillId="18" borderId="42" xfId="0" applyFill="1" applyBorder="1" applyAlignment="1">
      <alignment/>
    </xf>
    <xf numFmtId="3" fontId="39" fillId="18" borderId="23" xfId="66" applyNumberFormat="1" applyFont="1" applyFill="1" applyBorder="1" applyAlignment="1">
      <alignment horizontal="right"/>
      <protection/>
    </xf>
    <xf numFmtId="3" fontId="0" fillId="0" borderId="10" xfId="59" applyNumberFormat="1" applyFont="1" applyFill="1" applyBorder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/>
    </xf>
    <xf numFmtId="9" fontId="1" fillId="0" borderId="25" xfId="64" applyNumberFormat="1" applyFont="1" applyBorder="1" applyAlignment="1">
      <alignment/>
      <protection/>
    </xf>
    <xf numFmtId="9" fontId="1" fillId="0" borderId="15" xfId="68" applyNumberFormat="1" applyFont="1" applyFill="1" applyBorder="1" applyAlignment="1">
      <alignment vertical="center"/>
      <protection/>
    </xf>
    <xf numFmtId="9" fontId="11" fillId="0" borderId="15" xfId="68" applyNumberFormat="1" applyFont="1" applyFill="1" applyBorder="1">
      <alignment/>
      <protection/>
    </xf>
    <xf numFmtId="9" fontId="1" fillId="0" borderId="18" xfId="68" applyNumberFormat="1" applyFont="1" applyFill="1" applyBorder="1">
      <alignment/>
      <protection/>
    </xf>
    <xf numFmtId="9" fontId="2" fillId="0" borderId="11" xfId="68" applyNumberFormat="1" applyFont="1" applyFill="1" applyBorder="1">
      <alignment/>
      <protection/>
    </xf>
    <xf numFmtId="9" fontId="2" fillId="0" borderId="12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4" xfId="0" applyNumberFormat="1" applyFont="1" applyFill="1" applyBorder="1" applyAlignment="1">
      <alignment horizontal="right"/>
    </xf>
    <xf numFmtId="3" fontId="2" fillId="18" borderId="46" xfId="64" applyNumberFormat="1" applyFont="1" applyFill="1" applyBorder="1" applyAlignment="1">
      <alignment/>
      <protection/>
    </xf>
    <xf numFmtId="3" fontId="2" fillId="18" borderId="23" xfId="64" applyNumberFormat="1" applyFont="1" applyFill="1" applyBorder="1" applyAlignment="1">
      <alignment/>
      <protection/>
    </xf>
    <xf numFmtId="3" fontId="2" fillId="18" borderId="14" xfId="64" applyNumberFormat="1" applyFont="1" applyFill="1" applyBorder="1" applyAlignment="1">
      <alignment/>
      <protection/>
    </xf>
    <xf numFmtId="3" fontId="2" fillId="18" borderId="12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/>
      <protection/>
    </xf>
    <xf numFmtId="3" fontId="1" fillId="18" borderId="23" xfId="64" applyNumberFormat="1" applyFont="1" applyFill="1" applyBorder="1" applyAlignment="1">
      <alignment/>
      <protection/>
    </xf>
    <xf numFmtId="3" fontId="2" fillId="18" borderId="23" xfId="64" applyNumberFormat="1" applyFont="1" applyFill="1" applyBorder="1" applyAlignment="1">
      <alignment/>
      <protection/>
    </xf>
    <xf numFmtId="3" fontId="1" fillId="18" borderId="38" xfId="64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 horizontal="right"/>
    </xf>
    <xf numFmtId="3" fontId="2" fillId="18" borderId="38" xfId="73" applyNumberFormat="1" applyFont="1" applyFill="1" applyBorder="1" applyAlignment="1">
      <alignment horizontal="right"/>
      <protection/>
    </xf>
    <xf numFmtId="3" fontId="2" fillId="18" borderId="12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3" fontId="1" fillId="18" borderId="15" xfId="0" applyNumberFormat="1" applyFont="1" applyFill="1" applyBorder="1" applyAlignment="1">
      <alignment/>
    </xf>
    <xf numFmtId="3" fontId="9" fillId="18" borderId="15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0" xfId="82" applyNumberFormat="1" applyFont="1" applyFill="1" applyBorder="1" applyAlignment="1">
      <alignment horizontal="right"/>
    </xf>
    <xf numFmtId="3" fontId="2" fillId="18" borderId="10" xfId="82" applyNumberFormat="1" applyFont="1" applyFill="1" applyBorder="1" applyAlignment="1">
      <alignment horizontal="right"/>
    </xf>
    <xf numFmtId="3" fontId="43" fillId="18" borderId="10" xfId="82" applyNumberFormat="1" applyFont="1" applyFill="1" applyBorder="1" applyAlignment="1">
      <alignment horizontal="right"/>
    </xf>
    <xf numFmtId="9" fontId="1" fillId="0" borderId="15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1" fillId="0" borderId="28" xfId="64" applyNumberFormat="1" applyFont="1" applyBorder="1" applyAlignment="1">
      <alignment/>
      <protection/>
    </xf>
    <xf numFmtId="9" fontId="2" fillId="0" borderId="37" xfId="64" applyNumberFormat="1" applyFont="1" applyBorder="1" applyAlignment="1">
      <alignment/>
      <protection/>
    </xf>
    <xf numFmtId="9" fontId="1" fillId="0" borderId="33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 vertical="center"/>
      <protection/>
    </xf>
    <xf numFmtId="9" fontId="8" fillId="0" borderId="11" xfId="82" applyNumberFormat="1" applyFont="1" applyFill="1" applyBorder="1" applyAlignment="1">
      <alignment horizontal="right"/>
    </xf>
    <xf numFmtId="9" fontId="9" fillId="0" borderId="11" xfId="82" applyNumberFormat="1" applyFont="1" applyFill="1" applyBorder="1" applyAlignment="1">
      <alignment horizontal="right"/>
    </xf>
    <xf numFmtId="9" fontId="2" fillId="0" borderId="15" xfId="64" applyNumberFormat="1" applyFont="1" applyBorder="1" applyAlignment="1">
      <alignment/>
      <protection/>
    </xf>
    <xf numFmtId="0" fontId="13" fillId="0" borderId="0" xfId="63" applyFont="1" applyBorder="1" applyAlignment="1">
      <alignment horizontal="center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63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4" xfId="68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3" fillId="0" borderId="0" xfId="66" applyFont="1" applyBorder="1" applyAlignment="1">
      <alignment vertical="center" wrapText="1"/>
      <protection/>
    </xf>
    <xf numFmtId="0" fontId="39" fillId="0" borderId="0" xfId="66" applyFont="1" applyBorder="1" applyAlignment="1">
      <alignment vertical="center" wrapText="1"/>
      <protection/>
    </xf>
    <xf numFmtId="0" fontId="39" fillId="0" borderId="13" xfId="66" applyFont="1" applyBorder="1" applyAlignment="1">
      <alignment vertical="center"/>
      <protection/>
    </xf>
    <xf numFmtId="0" fontId="39" fillId="0" borderId="11" xfId="66" applyFont="1" applyBorder="1" applyAlignment="1">
      <alignment vertical="center"/>
      <protection/>
    </xf>
    <xf numFmtId="0" fontId="33" fillId="0" borderId="13" xfId="66" applyFont="1" applyBorder="1" applyAlignment="1">
      <alignment vertical="center" wrapText="1"/>
      <protection/>
    </xf>
    <xf numFmtId="0" fontId="33" fillId="0" borderId="10" xfId="66" applyFont="1" applyBorder="1" applyAlignment="1">
      <alignment vertical="center" wrapText="1"/>
      <protection/>
    </xf>
    <xf numFmtId="0" fontId="39" fillId="0" borderId="25" xfId="66" applyFont="1" applyBorder="1" applyAlignment="1">
      <alignment vertical="center" wrapText="1"/>
      <protection/>
    </xf>
    <xf numFmtId="0" fontId="33" fillId="0" borderId="23" xfId="66" applyFont="1" applyBorder="1" applyAlignment="1">
      <alignment/>
      <protection/>
    </xf>
    <xf numFmtId="0" fontId="0" fillId="0" borderId="42" xfId="0" applyBorder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9" fillId="0" borderId="10" xfId="66" applyFont="1" applyBorder="1" applyAlignment="1">
      <alignment vertical="center"/>
      <protection/>
    </xf>
    <xf numFmtId="0" fontId="13" fillId="0" borderId="0" xfId="66" applyFont="1" applyAlignment="1">
      <alignment horizontal="center"/>
      <protection/>
    </xf>
    <xf numFmtId="0" fontId="13" fillId="0" borderId="0" xfId="66" applyFont="1" applyAlignment="1">
      <alignment/>
      <protection/>
    </xf>
    <xf numFmtId="0" fontId="3" fillId="0" borderId="0" xfId="0" applyFont="1" applyAlignment="1">
      <alignment/>
    </xf>
    <xf numFmtId="0" fontId="49" fillId="0" borderId="40" xfId="70" applyFont="1" applyBorder="1" applyAlignment="1">
      <alignment horizontal="center" vertical="center"/>
      <protection/>
    </xf>
    <xf numFmtId="0" fontId="49" fillId="0" borderId="16" xfId="70" applyFont="1" applyBorder="1" applyAlignment="1">
      <alignment horizontal="center" vertical="center"/>
      <protection/>
    </xf>
    <xf numFmtId="0" fontId="10" fillId="0" borderId="16" xfId="70" applyBorder="1" applyAlignment="1">
      <alignment horizontal="center" vertical="center"/>
      <protection/>
    </xf>
    <xf numFmtId="0" fontId="10" fillId="0" borderId="38" xfId="70" applyBorder="1" applyAlignment="1">
      <alignment horizontal="center" vertical="center"/>
      <protection/>
    </xf>
    <xf numFmtId="0" fontId="51" fillId="0" borderId="53" xfId="70" applyFont="1" applyBorder="1" applyAlignment="1">
      <alignment horizontal="center" vertical="center" wrapText="1"/>
      <protection/>
    </xf>
    <xf numFmtId="0" fontId="51" fillId="0" borderId="44" xfId="70" applyFont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0" borderId="20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0" xfId="70" applyFont="1" applyBorder="1" applyAlignment="1">
      <alignment horizontal="center" vertical="center" wrapText="1"/>
      <protection/>
    </xf>
    <xf numFmtId="0" fontId="52" fillId="0" borderId="49" xfId="70" applyFont="1" applyBorder="1" applyAlignment="1">
      <alignment horizontal="center" vertical="center" wrapText="1"/>
      <protection/>
    </xf>
    <xf numFmtId="0" fontId="52" fillId="0" borderId="26" xfId="70" applyFont="1" applyBorder="1" applyAlignment="1">
      <alignment horizontal="center" vertical="center" wrapText="1"/>
      <protection/>
    </xf>
    <xf numFmtId="0" fontId="49" fillId="0" borderId="31" xfId="70" applyFont="1" applyBorder="1" applyAlignment="1">
      <alignment horizontal="center" vertical="center"/>
      <protection/>
    </xf>
    <xf numFmtId="0" fontId="49" fillId="0" borderId="14" xfId="70" applyFont="1" applyBorder="1" applyAlignment="1">
      <alignment horizontal="center" vertical="center"/>
      <protection/>
    </xf>
    <xf numFmtId="0" fontId="49" fillId="0" borderId="10" xfId="70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2" fillId="0" borderId="13" xfId="70" applyFont="1" applyBorder="1" applyAlignment="1">
      <alignment horizontal="center" vertical="center"/>
      <protection/>
    </xf>
    <xf numFmtId="0" fontId="42" fillId="0" borderId="11" xfId="70" applyFont="1" applyBorder="1" applyAlignment="1">
      <alignment horizontal="center" vertical="center"/>
      <protection/>
    </xf>
    <xf numFmtId="0" fontId="34" fillId="0" borderId="0" xfId="70" applyFont="1" applyAlignment="1">
      <alignment horizontal="center" vertical="center" wrapText="1"/>
      <protection/>
    </xf>
    <xf numFmtId="0" fontId="42" fillId="0" borderId="13" xfId="70" applyFont="1" applyBorder="1" applyAlignment="1">
      <alignment horizontal="center" vertical="center" wrapText="1"/>
      <protection/>
    </xf>
    <xf numFmtId="0" fontId="42" fillId="0" borderId="14" xfId="70" applyFont="1" applyBorder="1" applyAlignment="1">
      <alignment horizontal="center" vertical="center" wrapText="1"/>
      <protection/>
    </xf>
    <xf numFmtId="0" fontId="49" fillId="0" borderId="13" xfId="70" applyFont="1" applyBorder="1" applyAlignment="1">
      <alignment horizontal="center" vertical="center"/>
      <protection/>
    </xf>
    <xf numFmtId="0" fontId="13" fillId="0" borderId="0" xfId="70" applyFont="1" applyAlignment="1">
      <alignment horizontal="center"/>
      <protection/>
    </xf>
    <xf numFmtId="0" fontId="49" fillId="0" borderId="40" xfId="70" applyFont="1" applyBorder="1" applyAlignment="1">
      <alignment horizontal="center" vertical="center" wrapText="1"/>
      <protection/>
    </xf>
    <xf numFmtId="0" fontId="49" fillId="0" borderId="44" xfId="70" applyFont="1" applyBorder="1" applyAlignment="1">
      <alignment horizontal="center" vertical="center" wrapText="1"/>
      <protection/>
    </xf>
    <xf numFmtId="0" fontId="49" fillId="0" borderId="16" xfId="70" applyFont="1" applyBorder="1" applyAlignment="1">
      <alignment horizontal="center" vertical="center" wrapText="1"/>
      <protection/>
    </xf>
    <xf numFmtId="0" fontId="49" fillId="0" borderId="20" xfId="70" applyFont="1" applyBorder="1" applyAlignment="1">
      <alignment horizontal="center" vertical="center" wrapText="1"/>
      <protection/>
    </xf>
    <xf numFmtId="0" fontId="10" fillId="0" borderId="16" xfId="70" applyBorder="1" applyAlignment="1">
      <alignment horizontal="center" vertical="center" wrapText="1"/>
      <protection/>
    </xf>
    <xf numFmtId="0" fontId="10" fillId="0" borderId="20" xfId="70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2" fillId="0" borderId="17" xfId="70" applyFont="1" applyBorder="1" applyAlignment="1">
      <alignment horizontal="center" vertical="center"/>
      <protection/>
    </xf>
    <xf numFmtId="0" fontId="42" fillId="0" borderId="47" xfId="70" applyFont="1" applyBorder="1" applyAlignment="1">
      <alignment horizontal="center" vertical="center"/>
      <protection/>
    </xf>
    <xf numFmtId="0" fontId="42" fillId="0" borderId="27" xfId="70" applyFont="1" applyBorder="1" applyAlignment="1">
      <alignment horizontal="center" vertical="center"/>
      <protection/>
    </xf>
    <xf numFmtId="0" fontId="42" fillId="0" borderId="41" xfId="70" applyFont="1" applyBorder="1" applyAlignment="1">
      <alignment horizontal="center" vertical="center"/>
      <protection/>
    </xf>
    <xf numFmtId="0" fontId="42" fillId="0" borderId="35" xfId="70" applyFont="1" applyBorder="1" applyAlignment="1">
      <alignment horizontal="center" vertical="center"/>
      <protection/>
    </xf>
    <xf numFmtId="0" fontId="42" fillId="0" borderId="38" xfId="70" applyFont="1" applyBorder="1" applyAlignment="1">
      <alignment horizontal="center" vertical="center"/>
      <protection/>
    </xf>
    <xf numFmtId="0" fontId="42" fillId="0" borderId="49" xfId="70" applyFont="1" applyBorder="1" applyAlignment="1">
      <alignment horizontal="center" vertical="center"/>
      <protection/>
    </xf>
    <xf numFmtId="0" fontId="42" fillId="0" borderId="26" xfId="70" applyFont="1" applyBorder="1" applyAlignment="1">
      <alignment horizontal="center" vertical="center"/>
      <protection/>
    </xf>
    <xf numFmtId="0" fontId="13" fillId="0" borderId="13" xfId="67" applyFont="1" applyBorder="1" applyAlignment="1">
      <alignment horizontal="right" vertical="center"/>
      <protection/>
    </xf>
    <xf numFmtId="0" fontId="13" fillId="0" borderId="11" xfId="67" applyFont="1" applyBorder="1" applyAlignment="1">
      <alignment horizontal="right" vertical="center"/>
      <protection/>
    </xf>
    <xf numFmtId="0" fontId="10" fillId="0" borderId="13" xfId="67" applyFont="1" applyBorder="1" applyAlignment="1">
      <alignment/>
      <protection/>
    </xf>
    <xf numFmtId="0" fontId="10" fillId="0" borderId="11" xfId="67" applyBorder="1" applyAlignment="1">
      <alignment/>
      <protection/>
    </xf>
    <xf numFmtId="0" fontId="13" fillId="0" borderId="17" xfId="67" applyFont="1" applyBorder="1" applyAlignment="1">
      <alignment vertical="center"/>
      <protection/>
    </xf>
    <xf numFmtId="0" fontId="13" fillId="0" borderId="35" xfId="67" applyFont="1" applyBorder="1" applyAlignment="1">
      <alignment vertical="center"/>
      <protection/>
    </xf>
    <xf numFmtId="0" fontId="13" fillId="0" borderId="47" xfId="67" applyFont="1" applyBorder="1" applyAlignment="1">
      <alignment vertical="center"/>
      <protection/>
    </xf>
    <xf numFmtId="0" fontId="13" fillId="0" borderId="27" xfId="67" applyFont="1" applyBorder="1" applyAlignment="1">
      <alignment vertical="center"/>
      <protection/>
    </xf>
    <xf numFmtId="0" fontId="13" fillId="0" borderId="19" xfId="67" applyFont="1" applyBorder="1" applyAlignment="1">
      <alignment vertical="center"/>
      <protection/>
    </xf>
    <xf numFmtId="0" fontId="13" fillId="0" borderId="41" xfId="67" applyFont="1" applyBorder="1" applyAlignment="1">
      <alignment vertical="center"/>
      <protection/>
    </xf>
    <xf numFmtId="0" fontId="13" fillId="0" borderId="17" xfId="67" applyFont="1" applyBorder="1" applyAlignment="1">
      <alignment horizontal="left" vertical="center"/>
      <protection/>
    </xf>
    <xf numFmtId="0" fontId="13" fillId="0" borderId="35" xfId="67" applyFont="1" applyBorder="1" applyAlignment="1">
      <alignment horizontal="left" vertical="center"/>
      <protection/>
    </xf>
    <xf numFmtId="0" fontId="13" fillId="0" borderId="47" xfId="67" applyFont="1" applyBorder="1" applyAlignment="1">
      <alignment horizontal="left" vertical="center"/>
      <protection/>
    </xf>
    <xf numFmtId="0" fontId="13" fillId="0" borderId="27" xfId="67" applyFont="1" applyBorder="1" applyAlignment="1">
      <alignment horizontal="left" vertical="center"/>
      <protection/>
    </xf>
    <xf numFmtId="0" fontId="13" fillId="0" borderId="19" xfId="67" applyFont="1" applyBorder="1" applyAlignment="1">
      <alignment horizontal="left" vertical="center"/>
      <protection/>
    </xf>
    <xf numFmtId="0" fontId="13" fillId="0" borderId="41" xfId="67" applyFont="1" applyBorder="1" applyAlignment="1">
      <alignment horizontal="left" vertical="center"/>
      <protection/>
    </xf>
    <xf numFmtId="0" fontId="10" fillId="0" borderId="13" xfId="67" applyBorder="1" applyAlignment="1">
      <alignment horizontal="right" vertical="center"/>
      <protection/>
    </xf>
    <xf numFmtId="0" fontId="10" fillId="0" borderId="11" xfId="67" applyBorder="1" applyAlignment="1">
      <alignment horizontal="right" vertical="center"/>
      <protection/>
    </xf>
    <xf numFmtId="0" fontId="10" fillId="0" borderId="10" xfId="67" applyFont="1" applyBorder="1" applyAlignment="1">
      <alignment/>
      <protection/>
    </xf>
    <xf numFmtId="0" fontId="10" fillId="0" borderId="17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47" xfId="67" applyBorder="1" applyAlignment="1">
      <alignment/>
      <protection/>
    </xf>
    <xf numFmtId="0" fontId="10" fillId="0" borderId="27" xfId="67" applyBorder="1" applyAlignment="1">
      <alignment/>
      <protection/>
    </xf>
    <xf numFmtId="0" fontId="10" fillId="0" borderId="19" xfId="67" applyBorder="1" applyAlignment="1">
      <alignment/>
      <protection/>
    </xf>
    <xf numFmtId="0" fontId="10" fillId="0" borderId="41" xfId="67" applyBorder="1" applyAlignment="1">
      <alignment/>
      <protection/>
    </xf>
    <xf numFmtId="0" fontId="13" fillId="0" borderId="17" xfId="67" applyFont="1" applyBorder="1" applyAlignment="1">
      <alignment/>
      <protection/>
    </xf>
    <xf numFmtId="0" fontId="13" fillId="0" borderId="35" xfId="67" applyFont="1" applyBorder="1" applyAlignment="1">
      <alignment/>
      <protection/>
    </xf>
    <xf numFmtId="0" fontId="13" fillId="0" borderId="47" xfId="67" applyFont="1" applyBorder="1" applyAlignment="1">
      <alignment/>
      <protection/>
    </xf>
    <xf numFmtId="0" fontId="13" fillId="0" borderId="27" xfId="67" applyFont="1" applyBorder="1" applyAlignment="1">
      <alignment/>
      <protection/>
    </xf>
    <xf numFmtId="0" fontId="13" fillId="0" borderId="19" xfId="67" applyFont="1" applyBorder="1" applyAlignment="1">
      <alignment/>
      <protection/>
    </xf>
    <xf numFmtId="0" fontId="13" fillId="0" borderId="41" xfId="67" applyFont="1" applyBorder="1" applyAlignment="1">
      <alignment/>
      <protection/>
    </xf>
    <xf numFmtId="0" fontId="10" fillId="0" borderId="0" xfId="67" applyFont="1" applyBorder="1" applyAlignment="1">
      <alignment vertical="center" wrapText="1"/>
      <protection/>
    </xf>
    <xf numFmtId="0" fontId="10" fillId="0" borderId="19" xfId="67" applyBorder="1" applyAlignment="1">
      <alignment vertical="center" wrapText="1"/>
      <protection/>
    </xf>
    <xf numFmtId="0" fontId="10" fillId="0" borderId="13" xfId="67" applyFont="1" applyBorder="1" applyAlignment="1">
      <alignment vertical="center" wrapText="1"/>
      <protection/>
    </xf>
    <xf numFmtId="0" fontId="10" fillId="0" borderId="11" xfId="67" applyBorder="1" applyAlignment="1">
      <alignment vertical="center" wrapText="1"/>
      <protection/>
    </xf>
    <xf numFmtId="0" fontId="13" fillId="0" borderId="0" xfId="67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3" fillId="0" borderId="13" xfId="67" applyFont="1" applyBorder="1" applyAlignment="1">
      <alignment vertical="center"/>
      <protection/>
    </xf>
    <xf numFmtId="0" fontId="13" fillId="0" borderId="10" xfId="67" applyFont="1" applyBorder="1" applyAlignment="1">
      <alignment vertical="center"/>
      <protection/>
    </xf>
    <xf numFmtId="0" fontId="13" fillId="0" borderId="11" xfId="67" applyFont="1" applyBorder="1" applyAlignment="1">
      <alignment vertical="center"/>
      <protection/>
    </xf>
    <xf numFmtId="0" fontId="13" fillId="0" borderId="17" xfId="67" applyFont="1" applyBorder="1" applyAlignment="1">
      <alignment vertical="center" wrapText="1"/>
      <protection/>
    </xf>
    <xf numFmtId="0" fontId="13" fillId="0" borderId="35" xfId="67" applyFont="1" applyBorder="1" applyAlignment="1">
      <alignment vertical="center" wrapText="1"/>
      <protection/>
    </xf>
    <xf numFmtId="0" fontId="13" fillId="0" borderId="47" xfId="67" applyFont="1" applyBorder="1" applyAlignment="1">
      <alignment vertical="center" wrapText="1"/>
      <protection/>
    </xf>
    <xf numFmtId="0" fontId="13" fillId="0" borderId="16" xfId="67" applyFont="1" applyBorder="1" applyAlignment="1">
      <alignment vertical="center" wrapText="1"/>
      <protection/>
    </xf>
    <xf numFmtId="0" fontId="13" fillId="0" borderId="0" xfId="67" applyFont="1" applyBorder="1" applyAlignment="1">
      <alignment vertical="center" wrapText="1"/>
      <protection/>
    </xf>
    <xf numFmtId="0" fontId="13" fillId="0" borderId="20" xfId="67" applyFont="1" applyBorder="1" applyAlignment="1">
      <alignment vertical="center" wrapText="1"/>
      <protection/>
    </xf>
    <xf numFmtId="0" fontId="10" fillId="0" borderId="27" xfId="67" applyBorder="1" applyAlignment="1">
      <alignment wrapText="1"/>
      <protection/>
    </xf>
    <xf numFmtId="0" fontId="10" fillId="0" borderId="19" xfId="67" applyBorder="1" applyAlignment="1">
      <alignment wrapText="1"/>
      <protection/>
    </xf>
    <xf numFmtId="0" fontId="10" fillId="0" borderId="41" xfId="67" applyBorder="1" applyAlignment="1">
      <alignment wrapText="1"/>
      <protection/>
    </xf>
    <xf numFmtId="0" fontId="13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wrapText="1"/>
      <protection/>
    </xf>
    <xf numFmtId="0" fontId="10" fillId="0" borderId="11" xfId="67" applyBorder="1" applyAlignment="1">
      <alignment wrapText="1"/>
      <protection/>
    </xf>
    <xf numFmtId="0" fontId="13" fillId="0" borderId="23" xfId="67" applyFont="1" applyBorder="1" applyAlignment="1">
      <alignment horizontal="center"/>
      <protection/>
    </xf>
    <xf numFmtId="0" fontId="13" fillId="0" borderId="51" xfId="67" applyFont="1" applyBorder="1" applyAlignment="1">
      <alignment horizontal="center"/>
      <protection/>
    </xf>
    <xf numFmtId="0" fontId="10" fillId="0" borderId="51" xfId="67" applyBorder="1" applyAlignment="1">
      <alignment horizontal="center"/>
      <protection/>
    </xf>
    <xf numFmtId="0" fontId="13" fillId="0" borderId="42" xfId="67" applyFont="1" applyBorder="1" applyAlignment="1">
      <alignment horizontal="center"/>
      <protection/>
    </xf>
    <xf numFmtId="0" fontId="10" fillId="0" borderId="10" xfId="67" applyBorder="1" applyAlignment="1">
      <alignment vertical="center" wrapText="1"/>
      <protection/>
    </xf>
    <xf numFmtId="0" fontId="45" fillId="0" borderId="0" xfId="60" applyFont="1" applyAlignment="1">
      <alignment horizontal="center" vertical="center"/>
      <protection/>
    </xf>
    <xf numFmtId="0" fontId="13" fillId="0" borderId="0" xfId="74" applyFont="1" applyAlignment="1">
      <alignment horizontal="center" vertical="center"/>
      <protection/>
    </xf>
    <xf numFmtId="0" fontId="13" fillId="0" borderId="13" xfId="74" applyFont="1" applyBorder="1" applyAlignment="1">
      <alignment horizontal="center" vertical="center"/>
      <protection/>
    </xf>
    <xf numFmtId="0" fontId="13" fillId="0" borderId="11" xfId="74" applyFont="1" applyBorder="1" applyAlignment="1">
      <alignment horizontal="center" vertical="center"/>
      <protection/>
    </xf>
    <xf numFmtId="0" fontId="14" fillId="0" borderId="35" xfId="74" applyFont="1" applyBorder="1" applyAlignment="1">
      <alignment horizontal="center" vertical="center"/>
      <protection/>
    </xf>
    <xf numFmtId="0" fontId="14" fillId="0" borderId="19" xfId="74" applyFont="1" applyBorder="1" applyAlignment="1">
      <alignment horizontal="center" vertical="center"/>
      <protection/>
    </xf>
    <xf numFmtId="0" fontId="14" fillId="0" borderId="23" xfId="74" applyFont="1" applyBorder="1" applyAlignment="1">
      <alignment horizontal="center" vertical="center"/>
      <protection/>
    </xf>
    <xf numFmtId="0" fontId="14" fillId="0" borderId="42" xfId="74" applyFont="1" applyBorder="1" applyAlignment="1">
      <alignment horizontal="center" vertical="center"/>
      <protection/>
    </xf>
    <xf numFmtId="0" fontId="57" fillId="0" borderId="47" xfId="72" applyFont="1" applyBorder="1" applyAlignment="1">
      <alignment horizontal="center" vertical="center" wrapText="1"/>
      <protection/>
    </xf>
    <xf numFmtId="0" fontId="57" fillId="0" borderId="41" xfId="72" applyFont="1" applyBorder="1" applyAlignment="1">
      <alignment horizontal="center" vertical="center" wrapText="1"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57" fillId="0" borderId="42" xfId="72" applyFont="1" applyBorder="1" applyAlignment="1">
      <alignment horizontal="center" vertical="center" wrapText="1"/>
      <protection/>
    </xf>
    <xf numFmtId="0" fontId="57" fillId="0" borderId="51" xfId="72" applyFont="1" applyBorder="1" applyAlignment="1">
      <alignment horizontal="center" vertical="center" wrapText="1"/>
      <protection/>
    </xf>
    <xf numFmtId="0" fontId="57" fillId="0" borderId="17" xfId="72" applyFont="1" applyBorder="1" applyAlignment="1">
      <alignment horizontal="center" vertical="center" wrapText="1"/>
      <protection/>
    </xf>
    <xf numFmtId="0" fontId="57" fillId="0" borderId="27" xfId="72" applyFont="1" applyBorder="1" applyAlignment="1">
      <alignment horizontal="center" vertical="center" wrapText="1"/>
      <protection/>
    </xf>
    <xf numFmtId="0" fontId="57" fillId="0" borderId="13" xfId="72" applyFont="1" applyFill="1" applyBorder="1" applyAlignment="1">
      <alignment horizontal="center" vertical="center" wrapText="1"/>
      <protection/>
    </xf>
    <xf numFmtId="0" fontId="13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2" applyFont="1" applyAlignment="1">
      <alignment horizontal="center" vertical="center"/>
      <protection/>
    </xf>
    <xf numFmtId="0" fontId="55" fillId="0" borderId="0" xfId="72" applyFont="1" applyAlignment="1">
      <alignment horizontal="center" vertical="center"/>
      <protection/>
    </xf>
    <xf numFmtId="0" fontId="57" fillId="0" borderId="13" xfId="72" applyFont="1" applyBorder="1" applyAlignment="1">
      <alignment horizontal="center" vertical="center" wrapText="1"/>
      <protection/>
    </xf>
    <xf numFmtId="0" fontId="57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2" xfId="72" applyFont="1" applyFill="1" applyBorder="1" applyAlignment="1">
      <alignment horizontal="center" vertical="center" wrapText="1"/>
      <protection/>
    </xf>
    <xf numFmtId="0" fontId="10" fillId="0" borderId="11" xfId="72" applyBorder="1" applyAlignment="1">
      <alignment horizontal="center" vertical="center" wrapText="1"/>
      <protection/>
    </xf>
    <xf numFmtId="0" fontId="13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3" fontId="33" fillId="0" borderId="13" xfId="60" applyNumberFormat="1" applyFont="1" applyBorder="1" applyAlignment="1">
      <alignment vertical="center"/>
      <protection/>
    </xf>
    <xf numFmtId="3" fontId="33" fillId="0" borderId="14" xfId="60" applyNumberFormat="1" applyFont="1" applyBorder="1" applyAlignment="1">
      <alignment vertical="center"/>
      <protection/>
    </xf>
    <xf numFmtId="3" fontId="39" fillId="0" borderId="13" xfId="60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3" fontId="33" fillId="0" borderId="11" xfId="60" applyNumberFormat="1" applyFont="1" applyBorder="1" applyAlignment="1">
      <alignment vertical="center"/>
      <protection/>
    </xf>
    <xf numFmtId="0" fontId="35" fillId="0" borderId="17" xfId="60" applyFont="1" applyBorder="1" applyAlignment="1">
      <alignment vertical="center" wrapText="1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1" xfId="60" applyNumberFormat="1" applyFont="1" applyBorder="1" applyAlignment="1">
      <alignment vertical="center"/>
      <protection/>
    </xf>
    <xf numFmtId="0" fontId="35" fillId="0" borderId="16" xfId="60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0" fontId="35" fillId="0" borderId="17" xfId="60" applyFont="1" applyBorder="1" applyAlignment="1">
      <alignment horizontal="left" vertical="center" wrapText="1"/>
      <protection/>
    </xf>
    <xf numFmtId="3" fontId="33" fillId="0" borderId="10" xfId="60" applyNumberFormat="1" applyFont="1" applyBorder="1" applyAlignment="1">
      <alignment vertical="center"/>
      <protection/>
    </xf>
    <xf numFmtId="0" fontId="35" fillId="0" borderId="47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4" fillId="0" borderId="38" xfId="60" applyFont="1" applyBorder="1" applyAlignment="1">
      <alignment horizontal="center"/>
      <protection/>
    </xf>
    <xf numFmtId="0" fontId="34" fillId="0" borderId="26" xfId="60" applyFont="1" applyBorder="1" applyAlignment="1">
      <alignment horizontal="center"/>
      <protection/>
    </xf>
    <xf numFmtId="0" fontId="35" fillId="0" borderId="16" xfId="60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4" fillId="0" borderId="12" xfId="69" applyFont="1" applyBorder="1" applyAlignment="1">
      <alignment vertical="center" wrapText="1"/>
      <protection/>
    </xf>
    <xf numFmtId="0" fontId="34" fillId="0" borderId="34" xfId="69" applyFont="1" applyBorder="1" applyAlignment="1">
      <alignment vertical="center" wrapText="1"/>
      <protection/>
    </xf>
    <xf numFmtId="3" fontId="34" fillId="0" borderId="12" xfId="69" applyNumberFormat="1" applyFont="1" applyBorder="1" applyAlignment="1">
      <alignment vertical="center"/>
      <protection/>
    </xf>
    <xf numFmtId="3" fontId="34" fillId="0" borderId="34" xfId="69" applyNumberFormat="1" applyFont="1" applyBorder="1" applyAlignment="1">
      <alignment vertical="center"/>
      <protection/>
    </xf>
    <xf numFmtId="0" fontId="34" fillId="0" borderId="37" xfId="69" applyFont="1" applyBorder="1" applyAlignment="1">
      <alignment vertical="center" wrapText="1"/>
      <protection/>
    </xf>
    <xf numFmtId="3" fontId="34" fillId="0" borderId="37" xfId="69" applyNumberFormat="1" applyFont="1" applyBorder="1" applyAlignment="1">
      <alignment vertical="center"/>
      <protection/>
    </xf>
    <xf numFmtId="0" fontId="35" fillId="0" borderId="12" xfId="69" applyFont="1" applyBorder="1" applyAlignment="1">
      <alignment vertical="center" wrapText="1"/>
      <protection/>
    </xf>
    <xf numFmtId="3" fontId="35" fillId="0" borderId="12" xfId="69" applyNumberFormat="1" applyFont="1" applyBorder="1" applyAlignment="1">
      <alignment vertical="center"/>
      <protection/>
    </xf>
    <xf numFmtId="49" fontId="35" fillId="0" borderId="13" xfId="69" applyNumberFormat="1" applyFont="1" applyBorder="1" applyAlignment="1">
      <alignment horizontal="center" vertical="center"/>
      <protection/>
    </xf>
    <xf numFmtId="49" fontId="35" fillId="0" borderId="10" xfId="69" applyNumberFormat="1" applyFont="1" applyBorder="1" applyAlignment="1">
      <alignment horizontal="center" vertical="center"/>
      <protection/>
    </xf>
    <xf numFmtId="49" fontId="35" fillId="0" borderId="11" xfId="69" applyNumberFormat="1" applyFont="1" applyBorder="1" applyAlignment="1">
      <alignment horizontal="center" vertical="center"/>
      <protection/>
    </xf>
    <xf numFmtId="0" fontId="13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9" applyFont="1" applyBorder="1" applyAlignment="1">
      <alignment horizontal="center" vertical="center"/>
      <protection/>
    </xf>
    <xf numFmtId="0" fontId="34" fillId="0" borderId="12" xfId="69" applyFont="1" applyBorder="1" applyAlignment="1">
      <alignment horizontal="center" vertical="center" wrapText="1"/>
      <protection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49" fontId="34" fillId="0" borderId="1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0">
      <selection activeCell="L12" sqref="L12"/>
    </sheetView>
  </sheetViews>
  <sheetFormatPr defaultColWidth="9.00390625" defaultRowHeight="12.75"/>
  <cols>
    <col min="1" max="1" width="60.25390625" style="98" customWidth="1"/>
    <col min="2" max="6" width="11.375" style="98" customWidth="1"/>
    <col min="7" max="7" width="51.875" style="98" customWidth="1"/>
    <col min="8" max="8" width="11.75390625" style="98" customWidth="1"/>
    <col min="9" max="9" width="11.25390625" style="98" customWidth="1"/>
    <col min="10" max="11" width="11.375" style="98" customWidth="1"/>
    <col min="12" max="12" width="11.25390625" style="98" customWidth="1"/>
    <col min="13" max="16384" width="9.125" style="98" customWidth="1"/>
  </cols>
  <sheetData>
    <row r="1" spans="1:7" ht="12.75">
      <c r="A1" s="1255" t="s">
        <v>104</v>
      </c>
      <c r="B1" s="1255"/>
      <c r="C1" s="1255"/>
      <c r="D1" s="1255"/>
      <c r="E1" s="1255"/>
      <c r="F1" s="1255"/>
      <c r="G1" s="1255"/>
    </row>
    <row r="2" spans="1:10" ht="12.75" customHeight="1">
      <c r="A2" s="1260" t="s">
        <v>105</v>
      </c>
      <c r="B2" s="1260"/>
      <c r="C2" s="1260"/>
      <c r="D2" s="1260"/>
      <c r="E2" s="1260"/>
      <c r="F2" s="1260"/>
      <c r="G2" s="1260"/>
      <c r="H2" s="1260"/>
      <c r="I2" s="1260"/>
      <c r="J2" s="1260"/>
    </row>
    <row r="3" spans="1:12" ht="12.75" customHeight="1">
      <c r="A3" s="190"/>
      <c r="B3" s="190"/>
      <c r="C3" s="190"/>
      <c r="D3" s="190"/>
      <c r="E3" s="190"/>
      <c r="F3" s="190"/>
      <c r="G3" s="190"/>
      <c r="H3" s="1116"/>
      <c r="I3" s="1116"/>
      <c r="J3" s="1116"/>
      <c r="K3" s="1116"/>
      <c r="L3" s="1116" t="s">
        <v>385</v>
      </c>
    </row>
    <row r="4" spans="1:12" ht="12.75" customHeight="1">
      <c r="A4" s="1256" t="s">
        <v>315</v>
      </c>
      <c r="B4" s="1258" t="s">
        <v>1130</v>
      </c>
      <c r="C4" s="1258" t="s">
        <v>1187</v>
      </c>
      <c r="D4" s="1258" t="s">
        <v>1203</v>
      </c>
      <c r="E4" s="1258" t="s">
        <v>1224</v>
      </c>
      <c r="F4" s="1258" t="s">
        <v>1229</v>
      </c>
      <c r="G4" s="1256" t="s">
        <v>316</v>
      </c>
      <c r="H4" s="1258" t="s">
        <v>1130</v>
      </c>
      <c r="I4" s="1258" t="s">
        <v>1187</v>
      </c>
      <c r="J4" s="1258" t="s">
        <v>1203</v>
      </c>
      <c r="K4" s="1258" t="s">
        <v>1224</v>
      </c>
      <c r="L4" s="1258" t="s">
        <v>1230</v>
      </c>
    </row>
    <row r="5" spans="1:12" ht="24.75" customHeight="1" thickBot="1">
      <c r="A5" s="1257"/>
      <c r="B5" s="1259"/>
      <c r="C5" s="1259"/>
      <c r="D5" s="1259"/>
      <c r="E5" s="1259"/>
      <c r="F5" s="1259"/>
      <c r="G5" s="1257"/>
      <c r="H5" s="1259"/>
      <c r="I5" s="1259"/>
      <c r="J5" s="1259"/>
      <c r="K5" s="1259"/>
      <c r="L5" s="1259"/>
    </row>
    <row r="6" spans="1:12" s="152" customFormat="1" ht="12.75" thickTop="1">
      <c r="A6" s="165"/>
      <c r="B6" s="201"/>
      <c r="C6" s="201"/>
      <c r="D6" s="201"/>
      <c r="E6" s="201"/>
      <c r="F6" s="201"/>
      <c r="G6" s="168" t="s">
        <v>317</v>
      </c>
      <c r="H6" s="166">
        <f>SUM('1c.mell '!C137)</f>
        <v>4083384</v>
      </c>
      <c r="I6" s="166">
        <f>SUM('1c.mell '!D137)</f>
        <v>4213634</v>
      </c>
      <c r="J6" s="166">
        <f>SUM('1c.mell '!E137)</f>
        <v>4218226</v>
      </c>
      <c r="K6" s="166">
        <f>SUM('1c.mell '!F137)</f>
        <v>4229715</v>
      </c>
      <c r="L6" s="166">
        <f>SUM('1c.mell '!G137)</f>
        <v>4200946</v>
      </c>
    </row>
    <row r="7" spans="1:12" s="152" customFormat="1" ht="12">
      <c r="A7" s="250" t="s">
        <v>217</v>
      </c>
      <c r="B7" s="159">
        <f>SUM('1b.mell '!C233)</f>
        <v>1701515</v>
      </c>
      <c r="C7" s="159">
        <f>SUM('1b.mell '!D233)</f>
        <v>1766182</v>
      </c>
      <c r="D7" s="159">
        <f>SUM('1b.mell '!E233)</f>
        <v>1957100</v>
      </c>
      <c r="E7" s="159">
        <f>SUM('1b.mell '!F233)</f>
        <v>1957533</v>
      </c>
      <c r="F7" s="159">
        <f>SUM('1b.mell '!G233)</f>
        <v>1978771</v>
      </c>
      <c r="G7" s="169" t="s">
        <v>367</v>
      </c>
      <c r="H7" s="166">
        <f>SUM('1c.mell '!C138)</f>
        <v>889160</v>
      </c>
      <c r="I7" s="166">
        <f>SUM('1c.mell '!D138)</f>
        <v>949544</v>
      </c>
      <c r="J7" s="166">
        <f>SUM('1c.mell '!E138)</f>
        <v>951782</v>
      </c>
      <c r="K7" s="166">
        <f>SUM('1c.mell '!F138)</f>
        <v>962238</v>
      </c>
      <c r="L7" s="166">
        <f>SUM('1c.mell '!G138)</f>
        <v>957829</v>
      </c>
    </row>
    <row r="8" spans="1:12" s="152" customFormat="1" ht="12">
      <c r="A8" s="250" t="s">
        <v>221</v>
      </c>
      <c r="B8" s="159">
        <f>SUM('1b.mell '!C17)</f>
        <v>0</v>
      </c>
      <c r="C8" s="159">
        <f>SUM('1b.mell '!D17)</f>
        <v>31</v>
      </c>
      <c r="D8" s="159">
        <f>SUM('1b.mell '!E17)</f>
        <v>31</v>
      </c>
      <c r="E8" s="159">
        <f>SUM('1b.mell '!F17)</f>
        <v>31</v>
      </c>
      <c r="F8" s="159">
        <f>SUM('1b.mell '!G17)</f>
        <v>108</v>
      </c>
      <c r="G8" s="158" t="s">
        <v>318</v>
      </c>
      <c r="H8" s="159">
        <f>SUM('1c.mell '!C139)</f>
        <v>5805981</v>
      </c>
      <c r="I8" s="159">
        <f>SUM('1c.mell '!D139)</f>
        <v>6285334</v>
      </c>
      <c r="J8" s="159">
        <f>SUM('1c.mell '!E139)</f>
        <v>6424587</v>
      </c>
      <c r="K8" s="159">
        <f>SUM('1c.mell '!F139)</f>
        <v>6436445</v>
      </c>
      <c r="L8" s="159">
        <f>SUM('1c.mell '!G139)</f>
        <v>6525097</v>
      </c>
    </row>
    <row r="9" spans="1:12" s="152" customFormat="1" ht="12.75" thickBot="1">
      <c r="A9" s="251" t="s">
        <v>222</v>
      </c>
      <c r="B9" s="259">
        <f>SUM('1b.mell '!C235)</f>
        <v>20484</v>
      </c>
      <c r="C9" s="259">
        <f>SUM('1b.mell '!D235)</f>
        <v>28608</v>
      </c>
      <c r="D9" s="259">
        <f>SUM('1b.mell '!E235)</f>
        <v>36454</v>
      </c>
      <c r="E9" s="259">
        <f>SUM('1b.mell '!F235)</f>
        <v>60039</v>
      </c>
      <c r="F9" s="259">
        <f>SUM('1b.mell '!G235)</f>
        <v>72542</v>
      </c>
      <c r="G9" s="158" t="s">
        <v>107</v>
      </c>
      <c r="H9" s="159">
        <f>SUM('1c.mell '!C140)</f>
        <v>213060</v>
      </c>
      <c r="I9" s="159">
        <f>SUM('1c.mell '!D140)</f>
        <v>214016</v>
      </c>
      <c r="J9" s="159">
        <f>SUM('1c.mell '!E140)</f>
        <v>221018</v>
      </c>
      <c r="K9" s="159">
        <f>SUM('1c.mell '!F140)</f>
        <v>229030</v>
      </c>
      <c r="L9" s="159">
        <f>SUM('1c.mell '!G140)</f>
        <v>231807</v>
      </c>
    </row>
    <row r="10" spans="1:12" s="152" customFormat="1" ht="12.75" thickBot="1">
      <c r="A10" s="252" t="s">
        <v>223</v>
      </c>
      <c r="B10" s="260">
        <f>SUM(B7:B9)</f>
        <v>1721999</v>
      </c>
      <c r="C10" s="260">
        <f>SUM(C7:C9)</f>
        <v>1794821</v>
      </c>
      <c r="D10" s="260">
        <f>SUM(D7:D9)</f>
        <v>1993585</v>
      </c>
      <c r="E10" s="260">
        <f>SUM(E7:E9)</f>
        <v>2017603</v>
      </c>
      <c r="F10" s="260">
        <f>SUM(F7:F9)</f>
        <v>2051421</v>
      </c>
      <c r="G10" s="158" t="s">
        <v>106</v>
      </c>
      <c r="H10" s="737">
        <f>SUM('1c.mell '!C141)</f>
        <v>1672228</v>
      </c>
      <c r="I10" s="737">
        <f>SUM('1c.mell '!D141)</f>
        <v>3508311</v>
      </c>
      <c r="J10" s="737">
        <f>SUM('1c.mell '!E141)</f>
        <v>3566020</v>
      </c>
      <c r="K10" s="737">
        <f>SUM('1c.mell '!F141)</f>
        <v>2200223</v>
      </c>
      <c r="L10" s="737">
        <f>SUM('1c.mell '!G141)</f>
        <v>2146195</v>
      </c>
    </row>
    <row r="11" spans="1:12" s="152" customFormat="1" ht="12">
      <c r="A11" s="195" t="s">
        <v>224</v>
      </c>
      <c r="B11" s="166">
        <f>SUM('1b.mell '!C237)</f>
        <v>3630000</v>
      </c>
      <c r="C11" s="166">
        <f>SUM('1b.mell '!D237)</f>
        <v>3630000</v>
      </c>
      <c r="D11" s="166">
        <f>SUM('1b.mell '!E237)</f>
        <v>3630000</v>
      </c>
      <c r="E11" s="166">
        <f>SUM('1b.mell '!F237)</f>
        <v>3630000</v>
      </c>
      <c r="F11" s="166">
        <f>SUM('1b.mell '!G237)</f>
        <v>3630000</v>
      </c>
      <c r="G11" s="1157" t="s">
        <v>1178</v>
      </c>
      <c r="H11" s="159"/>
      <c r="I11" s="1158">
        <v>161832</v>
      </c>
      <c r="J11" s="1158">
        <v>218921</v>
      </c>
      <c r="K11" s="1158">
        <v>166366</v>
      </c>
      <c r="L11" s="1158">
        <v>83242</v>
      </c>
    </row>
    <row r="12" spans="1:12" s="152" customFormat="1" ht="12">
      <c r="A12" s="195" t="s">
        <v>225</v>
      </c>
      <c r="B12" s="166">
        <f>SUM('1b.mell '!C238)</f>
        <v>4629284</v>
      </c>
      <c r="C12" s="166">
        <f>SUM('1b.mell '!D238)</f>
        <v>4629284</v>
      </c>
      <c r="D12" s="166">
        <f>SUM('1b.mell '!E238)</f>
        <v>4629284</v>
      </c>
      <c r="E12" s="166">
        <f>SUM('1b.mell '!F238)</f>
        <v>4629284</v>
      </c>
      <c r="F12" s="166">
        <f>SUM('1b.mell '!G238)</f>
        <v>4629284</v>
      </c>
      <c r="G12" s="1157" t="s">
        <v>1179</v>
      </c>
      <c r="H12" s="159"/>
      <c r="I12" s="1158">
        <v>9247</v>
      </c>
      <c r="J12" s="1158">
        <v>9247</v>
      </c>
      <c r="K12" s="1158"/>
      <c r="L12" s="1158"/>
    </row>
    <row r="13" spans="1:12" s="152" customFormat="1" ht="12.75" thickBot="1">
      <c r="A13" s="251" t="s">
        <v>5</v>
      </c>
      <c r="B13" s="166">
        <f>SUM('1b.mell '!C239)</f>
        <v>348560</v>
      </c>
      <c r="C13" s="166">
        <f>SUM('1b.mell '!D239)</f>
        <v>348560</v>
      </c>
      <c r="D13" s="166">
        <f>SUM('1b.mell '!E239)</f>
        <v>348560</v>
      </c>
      <c r="E13" s="166">
        <f>SUM('1b.mell '!F239)</f>
        <v>348560</v>
      </c>
      <c r="F13" s="166">
        <f>SUM('1b.mell '!G239)</f>
        <v>322335</v>
      </c>
      <c r="G13" s="1157" t="s">
        <v>1180</v>
      </c>
      <c r="H13" s="159"/>
      <c r="I13" s="1158">
        <v>1762762</v>
      </c>
      <c r="J13" s="1158">
        <v>1762762</v>
      </c>
      <c r="K13" s="1158">
        <v>453762</v>
      </c>
      <c r="L13" s="1158">
        <v>453762</v>
      </c>
    </row>
    <row r="14" spans="1:12" s="152" customFormat="1" ht="13.5" thickBot="1">
      <c r="A14" s="253" t="s">
        <v>231</v>
      </c>
      <c r="B14" s="260">
        <f>SUM(B11:B13)</f>
        <v>8607844</v>
      </c>
      <c r="C14" s="260">
        <f>SUM(C11:C13)</f>
        <v>8607844</v>
      </c>
      <c r="D14" s="260">
        <f>SUM(D11:D13)</f>
        <v>8607844</v>
      </c>
      <c r="E14" s="260">
        <f>SUM(E11:E13)</f>
        <v>8607844</v>
      </c>
      <c r="F14" s="260">
        <f>SUM(F11:F13)</f>
        <v>8581619</v>
      </c>
      <c r="G14" s="278"/>
      <c r="H14" s="787"/>
      <c r="I14" s="1168"/>
      <c r="J14" s="1168"/>
      <c r="K14" s="1168"/>
      <c r="L14" s="1169"/>
    </row>
    <row r="15" spans="1:12" s="152" customFormat="1" ht="12">
      <c r="A15" s="257" t="s">
        <v>487</v>
      </c>
      <c r="B15" s="267">
        <f>SUM('1b.mell '!C241)</f>
        <v>0</v>
      </c>
      <c r="C15" s="267">
        <f>SUM('1b.mell '!D241)</f>
        <v>0</v>
      </c>
      <c r="D15" s="267">
        <f>SUM('1b.mell '!E241)</f>
        <v>0</v>
      </c>
      <c r="E15" s="267">
        <f>SUM('1b.mell '!F241)</f>
        <v>63</v>
      </c>
      <c r="F15" s="267">
        <f>SUM('1b.mell '!G241)</f>
        <v>66</v>
      </c>
      <c r="G15" s="278"/>
      <c r="H15" s="787"/>
      <c r="I15" s="787"/>
      <c r="J15" s="787"/>
      <c r="K15" s="787"/>
      <c r="L15" s="211"/>
    </row>
    <row r="16" spans="1:12" s="152" customFormat="1" ht="12">
      <c r="A16" s="195" t="s">
        <v>232</v>
      </c>
      <c r="B16" s="166">
        <f>SUM('1b.mell '!C242)</f>
        <v>1633436</v>
      </c>
      <c r="C16" s="166">
        <f>SUM('1b.mell '!D242)</f>
        <v>1633436</v>
      </c>
      <c r="D16" s="166">
        <f>SUM('1b.mell '!E242)</f>
        <v>1633436</v>
      </c>
      <c r="E16" s="166">
        <f>SUM('1b.mell '!F242)</f>
        <v>1624921</v>
      </c>
      <c r="F16" s="166">
        <f>SUM('1b.mell '!G242)</f>
        <v>1627192</v>
      </c>
      <c r="G16" s="278"/>
      <c r="H16" s="787"/>
      <c r="I16" s="787"/>
      <c r="J16" s="787"/>
      <c r="K16" s="787"/>
      <c r="L16" s="211"/>
    </row>
    <row r="17" spans="1:12" s="152" customFormat="1" ht="12">
      <c r="A17" s="250" t="s">
        <v>233</v>
      </c>
      <c r="B17" s="166">
        <f>SUM('1b.mell '!C243)</f>
        <v>220225</v>
      </c>
      <c r="C17" s="166">
        <f>SUM('1b.mell '!D243)</f>
        <v>220225</v>
      </c>
      <c r="D17" s="166">
        <f>SUM('1b.mell '!E243)</f>
        <v>220331</v>
      </c>
      <c r="E17" s="166">
        <f>SUM('1b.mell '!F243)</f>
        <v>225651</v>
      </c>
      <c r="F17" s="166">
        <f>SUM('1b.mell '!G243)</f>
        <v>224359</v>
      </c>
      <c r="G17" s="278"/>
      <c r="H17" s="787"/>
      <c r="I17" s="787"/>
      <c r="J17" s="787"/>
      <c r="K17" s="787"/>
      <c r="L17" s="211"/>
    </row>
    <row r="18" spans="1:12" s="152" customFormat="1" ht="12">
      <c r="A18" s="250" t="s">
        <v>95</v>
      </c>
      <c r="B18" s="166">
        <f>SUM('1b.mell '!C244)</f>
        <v>0</v>
      </c>
      <c r="C18" s="166">
        <f>SUM('1b.mell '!D244)</f>
        <v>0</v>
      </c>
      <c r="D18" s="166">
        <f>SUM('1b.mell '!E244)</f>
        <v>0</v>
      </c>
      <c r="E18" s="166">
        <f>SUM('1b.mell '!F244)</f>
        <v>0</v>
      </c>
      <c r="F18" s="166">
        <f>SUM('1b.mell '!G244)</f>
        <v>0</v>
      </c>
      <c r="G18" s="278"/>
      <c r="H18" s="787"/>
      <c r="I18" s="787"/>
      <c r="J18" s="787"/>
      <c r="K18" s="787"/>
      <c r="L18" s="211"/>
    </row>
    <row r="19" spans="1:12" s="152" customFormat="1" ht="12">
      <c r="A19" s="250" t="s">
        <v>236</v>
      </c>
      <c r="B19" s="166">
        <f>SUM('1b.mell '!C245)</f>
        <v>178375</v>
      </c>
      <c r="C19" s="166">
        <f>SUM('1b.mell '!D245)</f>
        <v>178375</v>
      </c>
      <c r="D19" s="166">
        <f>SUM('1b.mell '!E245)</f>
        <v>178375</v>
      </c>
      <c r="E19" s="166">
        <f>SUM('1b.mell '!F245)</f>
        <v>180937</v>
      </c>
      <c r="F19" s="166">
        <f>SUM('1b.mell '!G245)</f>
        <v>195161</v>
      </c>
      <c r="G19" s="278"/>
      <c r="H19" s="787"/>
      <c r="I19" s="787"/>
      <c r="J19" s="787"/>
      <c r="K19" s="787"/>
      <c r="L19" s="211"/>
    </row>
    <row r="20" spans="1:12" s="152" customFormat="1" ht="12">
      <c r="A20" s="250" t="s">
        <v>237</v>
      </c>
      <c r="B20" s="166">
        <f>SUM('1b.mell '!C246)</f>
        <v>545847</v>
      </c>
      <c r="C20" s="166">
        <f>SUM('1b.mell '!D246)</f>
        <v>545847</v>
      </c>
      <c r="D20" s="166">
        <f>SUM('1b.mell '!E246)</f>
        <v>545847</v>
      </c>
      <c r="E20" s="166">
        <f>SUM('1b.mell '!F246)</f>
        <v>543263</v>
      </c>
      <c r="F20" s="166">
        <f>SUM('1b.mell '!G246)</f>
        <v>545653</v>
      </c>
      <c r="G20" s="153"/>
      <c r="H20" s="788"/>
      <c r="I20" s="788"/>
      <c r="J20" s="788"/>
      <c r="K20" s="788"/>
      <c r="L20" s="156"/>
    </row>
    <row r="21" spans="1:12" s="152" customFormat="1" ht="12">
      <c r="A21" s="195" t="s">
        <v>238</v>
      </c>
      <c r="B21" s="166">
        <f>SUM('1b.mell '!C247)</f>
        <v>0</v>
      </c>
      <c r="C21" s="166">
        <f>SUM('1b.mell '!D247)</f>
        <v>0</v>
      </c>
      <c r="D21" s="166">
        <f>SUM('1b.mell '!E247)</f>
        <v>0</v>
      </c>
      <c r="E21" s="166">
        <f>SUM('1b.mell '!F247)</f>
        <v>4902</v>
      </c>
      <c r="F21" s="166">
        <f>SUM('1b.mell '!G247)</f>
        <v>12215</v>
      </c>
      <c r="G21" s="153"/>
      <c r="H21" s="788"/>
      <c r="I21" s="788"/>
      <c r="J21" s="788"/>
      <c r="K21" s="788"/>
      <c r="L21" s="156"/>
    </row>
    <row r="22" spans="1:12" s="152" customFormat="1" ht="12">
      <c r="A22" s="195" t="s">
        <v>488</v>
      </c>
      <c r="B22" s="166">
        <f>SUM('1b.mell '!C248)</f>
        <v>15005</v>
      </c>
      <c r="C22" s="166">
        <f>SUM('1b.mell '!D248)</f>
        <v>15005</v>
      </c>
      <c r="D22" s="166">
        <f>SUM('1b.mell '!E248)</f>
        <v>15005</v>
      </c>
      <c r="E22" s="166">
        <f>SUM('1b.mell '!F248)</f>
        <v>15005</v>
      </c>
      <c r="F22" s="166">
        <f>SUM('1b.mell '!G248)</f>
        <v>15032</v>
      </c>
      <c r="G22" s="153"/>
      <c r="H22" s="788"/>
      <c r="I22" s="788"/>
      <c r="J22" s="788"/>
      <c r="K22" s="788"/>
      <c r="L22" s="156"/>
    </row>
    <row r="23" spans="1:12" s="152" customFormat="1" ht="12">
      <c r="A23" s="1080" t="s">
        <v>1085</v>
      </c>
      <c r="B23" s="166"/>
      <c r="C23" s="166"/>
      <c r="D23" s="166"/>
      <c r="E23" s="166"/>
      <c r="F23" s="166"/>
      <c r="G23" s="153"/>
      <c r="H23" s="788"/>
      <c r="I23" s="788"/>
      <c r="J23" s="788"/>
      <c r="K23" s="788"/>
      <c r="L23" s="156"/>
    </row>
    <row r="24" spans="1:12" s="152" customFormat="1" ht="12.75" thickBot="1">
      <c r="A24" s="251" t="s">
        <v>239</v>
      </c>
      <c r="B24" s="166">
        <f>SUM('1b.mell '!C249)</f>
        <v>22000</v>
      </c>
      <c r="C24" s="166">
        <f>SUM('1b.mell '!D249)</f>
        <v>46601</v>
      </c>
      <c r="D24" s="166">
        <f>SUM('1b.mell '!E249)</f>
        <v>46929</v>
      </c>
      <c r="E24" s="166">
        <f>SUM('1b.mell '!F249)</f>
        <v>51881</v>
      </c>
      <c r="F24" s="166">
        <f>SUM('1b.mell '!G249)</f>
        <v>51368</v>
      </c>
      <c r="G24" s="153"/>
      <c r="H24" s="788"/>
      <c r="I24" s="788"/>
      <c r="J24" s="788"/>
      <c r="K24" s="788"/>
      <c r="L24" s="156"/>
    </row>
    <row r="25" spans="1:12" s="152" customFormat="1" ht="13.5" thickBot="1">
      <c r="A25" s="253" t="s">
        <v>366</v>
      </c>
      <c r="B25" s="260">
        <f>SUM(B15:B24)</f>
        <v>2614888</v>
      </c>
      <c r="C25" s="260">
        <f>SUM(C15:C24)</f>
        <v>2639489</v>
      </c>
      <c r="D25" s="260">
        <f>SUM(D15:D24)</f>
        <v>2639923</v>
      </c>
      <c r="E25" s="260">
        <f>SUM(E15:E24)</f>
        <v>2646623</v>
      </c>
      <c r="F25" s="260">
        <f>SUM(F15:F24)</f>
        <v>2671046</v>
      </c>
      <c r="G25" s="153"/>
      <c r="H25" s="788"/>
      <c r="I25" s="788"/>
      <c r="J25" s="788"/>
      <c r="K25" s="788"/>
      <c r="L25" s="156"/>
    </row>
    <row r="26" spans="1:12" s="152" customFormat="1" ht="12.75" thickBot="1">
      <c r="A26" s="254" t="s">
        <v>240</v>
      </c>
      <c r="B26" s="261">
        <f>SUM('1b.mell '!C251)</f>
        <v>0</v>
      </c>
      <c r="C26" s="261">
        <f>SUM('1b.mell '!D251)</f>
        <v>8105</v>
      </c>
      <c r="D26" s="261">
        <f>SUM('1b.mell '!E251)</f>
        <v>8105</v>
      </c>
      <c r="E26" s="261">
        <f>SUM('1b.mell '!F251)</f>
        <v>9189</v>
      </c>
      <c r="F26" s="261">
        <f>SUM('1b.mell '!G251)</f>
        <v>9189</v>
      </c>
      <c r="G26" s="153"/>
      <c r="H26" s="788"/>
      <c r="I26" s="788"/>
      <c r="J26" s="788"/>
      <c r="K26" s="788"/>
      <c r="L26" s="156"/>
    </row>
    <row r="27" spans="1:12" s="152" customFormat="1" ht="13.5" thickBot="1">
      <c r="A27" s="255" t="s">
        <v>241</v>
      </c>
      <c r="B27" s="269">
        <f>SUM(B26)</f>
        <v>0</v>
      </c>
      <c r="C27" s="269">
        <f>SUM(C26)</f>
        <v>8105</v>
      </c>
      <c r="D27" s="269">
        <f>SUM(D26)</f>
        <v>8105</v>
      </c>
      <c r="E27" s="269">
        <f>SUM(E26)</f>
        <v>9189</v>
      </c>
      <c r="F27" s="269">
        <f>SUM(F26)</f>
        <v>9189</v>
      </c>
      <c r="G27" s="154"/>
      <c r="H27" s="789"/>
      <c r="I27" s="789"/>
      <c r="J27" s="789"/>
      <c r="K27" s="789"/>
      <c r="L27" s="157"/>
    </row>
    <row r="28" spans="1:12" s="152" customFormat="1" ht="17.25" thickBot="1" thickTop="1">
      <c r="A28" s="256" t="s">
        <v>72</v>
      </c>
      <c r="B28" s="216">
        <f>SUM(B27,B25,B14,B10)</f>
        <v>12944731</v>
      </c>
      <c r="C28" s="216">
        <f>SUM(C27,C25,C14,C10)</f>
        <v>13050259</v>
      </c>
      <c r="D28" s="216">
        <f>SUM(D27,D25,D14,D10)</f>
        <v>13249457</v>
      </c>
      <c r="E28" s="216">
        <f>SUM(E27,E25,E14,E10)</f>
        <v>13281259</v>
      </c>
      <c r="F28" s="216">
        <f>SUM(F27,F25,F14,F10)</f>
        <v>13313275</v>
      </c>
      <c r="G28" s="173" t="s">
        <v>65</v>
      </c>
      <c r="H28" s="160">
        <f>SUM(H6:H10)</f>
        <v>12663813</v>
      </c>
      <c r="I28" s="160">
        <f>SUM(I6:I10)</f>
        <v>15170839</v>
      </c>
      <c r="J28" s="160">
        <f>SUM(J6:J10)</f>
        <v>15381633</v>
      </c>
      <c r="K28" s="160">
        <f>SUM(K6:K10)</f>
        <v>14057651</v>
      </c>
      <c r="L28" s="160">
        <f>SUM(L6:L10)</f>
        <v>14061874</v>
      </c>
    </row>
    <row r="29" spans="1:12" s="152" customFormat="1" ht="12.75" thickTop="1">
      <c r="A29" s="195" t="s">
        <v>242</v>
      </c>
      <c r="B29" s="166">
        <f>SUM('1b.mell '!C254)</f>
        <v>50000</v>
      </c>
      <c r="C29" s="166">
        <f>SUM('1b.mell '!D254)</f>
        <v>50000</v>
      </c>
      <c r="D29" s="166">
        <f>SUM('1b.mell '!E254)</f>
        <v>52680</v>
      </c>
      <c r="E29" s="166">
        <f>SUM('1b.mell '!F254)</f>
        <v>52680</v>
      </c>
      <c r="F29" s="166">
        <f>SUM('1b.mell '!G254)</f>
        <v>52680</v>
      </c>
      <c r="G29" s="153"/>
      <c r="H29" s="276"/>
      <c r="I29" s="276"/>
      <c r="J29" s="276"/>
      <c r="K29" s="276"/>
      <c r="L29" s="276"/>
    </row>
    <row r="30" spans="1:12" s="152" customFormat="1" ht="12">
      <c r="A30" s="250" t="s">
        <v>243</v>
      </c>
      <c r="B30" s="159">
        <f>SUM('1b.mell '!C255)</f>
        <v>209034</v>
      </c>
      <c r="C30" s="159">
        <f>SUM('1b.mell '!D255)</f>
        <v>209034</v>
      </c>
      <c r="D30" s="159">
        <f>SUM('1b.mell '!E255)</f>
        <v>209034</v>
      </c>
      <c r="E30" s="159">
        <f>SUM('1b.mell '!F255)</f>
        <v>209034</v>
      </c>
      <c r="F30" s="159">
        <f>SUM('1b.mell '!G255)</f>
        <v>209034</v>
      </c>
      <c r="G30" s="155" t="s">
        <v>259</v>
      </c>
      <c r="H30" s="159">
        <f>SUM('1c.mell '!C144)</f>
        <v>1339250</v>
      </c>
      <c r="I30" s="159">
        <f>SUM('1c.mell '!D144)</f>
        <v>1849554</v>
      </c>
      <c r="J30" s="159">
        <f>SUM('1c.mell '!E144)</f>
        <v>1808323</v>
      </c>
      <c r="K30" s="159">
        <f>SUM('1c.mell '!F144)</f>
        <v>1899128</v>
      </c>
      <c r="L30" s="159">
        <f>SUM('1c.mell '!G144)</f>
        <v>1917004</v>
      </c>
    </row>
    <row r="31" spans="1:12" s="152" customFormat="1" ht="12">
      <c r="A31" s="250" t="s">
        <v>244</v>
      </c>
      <c r="B31" s="159">
        <f>SUM('1b.mell '!C256)</f>
        <v>250000</v>
      </c>
      <c r="C31" s="159">
        <f>SUM('1b.mell '!D256)</f>
        <v>250000</v>
      </c>
      <c r="D31" s="159">
        <f>SUM('1b.mell '!E256)</f>
        <v>250000</v>
      </c>
      <c r="E31" s="159">
        <f>SUM('1b.mell '!F256)</f>
        <v>250000</v>
      </c>
      <c r="F31" s="159">
        <f>SUM('1b.mell '!G256)</f>
        <v>0</v>
      </c>
      <c r="G31" s="262" t="s">
        <v>260</v>
      </c>
      <c r="H31" s="159">
        <f>SUM('1c.mell '!C145)</f>
        <v>2862162</v>
      </c>
      <c r="I31" s="159">
        <f>SUM('1c.mell '!D145)</f>
        <v>3815992</v>
      </c>
      <c r="J31" s="159">
        <f>SUM('1c.mell '!E145)</f>
        <v>3850992</v>
      </c>
      <c r="K31" s="159">
        <f>SUM('1c.mell '!F145)</f>
        <v>3806476</v>
      </c>
      <c r="L31" s="159">
        <f>SUM('1c.mell '!G145)</f>
        <v>3515790</v>
      </c>
    </row>
    <row r="32" spans="1:12" s="152" customFormat="1" ht="12.75" thickBot="1">
      <c r="A32" s="250" t="s">
        <v>1193</v>
      </c>
      <c r="B32" s="159">
        <f>SUM('1b.mell '!C257)</f>
        <v>280000</v>
      </c>
      <c r="C32" s="159">
        <f>SUM('1b.mell '!D257)</f>
        <v>283729</v>
      </c>
      <c r="D32" s="159">
        <f>SUM('1b.mell '!E257)</f>
        <v>285614</v>
      </c>
      <c r="E32" s="159">
        <f>SUM('1b.mell '!F257)</f>
        <v>285614</v>
      </c>
      <c r="F32" s="159">
        <f>SUM('1b.mell '!G257)</f>
        <v>285614</v>
      </c>
      <c r="G32" s="155" t="s">
        <v>414</v>
      </c>
      <c r="H32" s="159">
        <f>SUM('1c.mell '!C146)</f>
        <v>1706008</v>
      </c>
      <c r="I32" s="159">
        <f>SUM('1c.mell '!D146)</f>
        <v>1944124</v>
      </c>
      <c r="J32" s="159">
        <f>SUM('1c.mell '!E146)</f>
        <v>1943324</v>
      </c>
      <c r="K32" s="159">
        <f>SUM('1c.mell '!F146)</f>
        <v>1943819</v>
      </c>
      <c r="L32" s="159">
        <f>SUM('1c.mell '!G146)</f>
        <v>1945437</v>
      </c>
    </row>
    <row r="33" spans="1:12" s="152" customFormat="1" ht="13.5" thickBot="1">
      <c r="A33" s="253" t="s">
        <v>245</v>
      </c>
      <c r="B33" s="260">
        <f>SUM(B29:B32)</f>
        <v>789034</v>
      </c>
      <c r="C33" s="260">
        <f>SUM(C29:C32)</f>
        <v>792763</v>
      </c>
      <c r="D33" s="260">
        <f>SUM(D29:D32)</f>
        <v>797328</v>
      </c>
      <c r="E33" s="260">
        <f>SUM(E29:E32)</f>
        <v>797328</v>
      </c>
      <c r="F33" s="260">
        <f>SUM(F29:F32)</f>
        <v>547328</v>
      </c>
      <c r="G33" s="153"/>
      <c r="H33" s="1131"/>
      <c r="I33" s="1131"/>
      <c r="J33" s="1131"/>
      <c r="K33" s="1131"/>
      <c r="L33" s="825"/>
    </row>
    <row r="34" spans="1:12" s="152" customFormat="1" ht="12">
      <c r="A34" s="195" t="s">
        <v>246</v>
      </c>
      <c r="B34" s="267">
        <f>SUM('1b.mell '!C259)</f>
        <v>2444000</v>
      </c>
      <c r="C34" s="267">
        <f>SUM('1b.mell '!D259)</f>
        <v>2444000</v>
      </c>
      <c r="D34" s="267">
        <f>SUM('1b.mell '!E259)</f>
        <v>2444000</v>
      </c>
      <c r="E34" s="267">
        <f>SUM('1b.mell '!F259)</f>
        <v>1135000</v>
      </c>
      <c r="F34" s="267">
        <f>SUM('1b.mell '!G259)</f>
        <v>986958</v>
      </c>
      <c r="G34" s="153"/>
      <c r="H34" s="788"/>
      <c r="I34" s="788"/>
      <c r="J34" s="788"/>
      <c r="K34" s="788"/>
      <c r="L34" s="156"/>
    </row>
    <row r="35" spans="1:12" s="152" customFormat="1" ht="12">
      <c r="A35" s="250" t="s">
        <v>257</v>
      </c>
      <c r="B35" s="159">
        <f>SUM('1b.mell '!C260)</f>
        <v>0</v>
      </c>
      <c r="C35" s="159">
        <f>SUM('1b.mell '!D260)</f>
        <v>0</v>
      </c>
      <c r="D35" s="159">
        <f>SUM('1b.mell '!E260)</f>
        <v>0</v>
      </c>
      <c r="E35" s="159">
        <f>SUM('1b.mell '!F260)</f>
        <v>0</v>
      </c>
      <c r="F35" s="159">
        <f>SUM('1b.mell '!G260)</f>
        <v>0</v>
      </c>
      <c r="G35" s="153"/>
      <c r="H35" s="788"/>
      <c r="I35" s="788"/>
      <c r="J35" s="788"/>
      <c r="K35" s="788"/>
      <c r="L35" s="156"/>
    </row>
    <row r="36" spans="1:12" s="152" customFormat="1" ht="12.75" thickBot="1">
      <c r="A36" s="1079" t="s">
        <v>1084</v>
      </c>
      <c r="B36" s="284"/>
      <c r="C36" s="284"/>
      <c r="D36" s="284"/>
      <c r="E36" s="284"/>
      <c r="F36" s="284"/>
      <c r="G36" s="153"/>
      <c r="H36" s="788"/>
      <c r="I36" s="788"/>
      <c r="J36" s="788"/>
      <c r="K36" s="788"/>
      <c r="L36" s="156"/>
    </row>
    <row r="37" spans="1:12" s="152" customFormat="1" ht="13.5" thickBot="1">
      <c r="A37" s="253" t="s">
        <v>247</v>
      </c>
      <c r="B37" s="260">
        <f>SUM(B34:B35)</f>
        <v>2444000</v>
      </c>
      <c r="C37" s="260">
        <f>SUM(C34:C35)</f>
        <v>2444000</v>
      </c>
      <c r="D37" s="260">
        <f>SUM(D34:D35)</f>
        <v>2444000</v>
      </c>
      <c r="E37" s="260">
        <f>SUM(E34:E35)</f>
        <v>1135000</v>
      </c>
      <c r="F37" s="260">
        <f>SUM(F34:F35)</f>
        <v>986958</v>
      </c>
      <c r="G37" s="278"/>
      <c r="H37" s="1132"/>
      <c r="I37" s="1132"/>
      <c r="J37" s="1132"/>
      <c r="K37" s="1132"/>
      <c r="L37" s="270"/>
    </row>
    <row r="38" spans="1:12" s="152" customFormat="1" ht="12.75" customHeight="1">
      <c r="A38" s="257" t="s">
        <v>475</v>
      </c>
      <c r="B38" s="267">
        <f>SUM('1b.mell '!C262)</f>
        <v>23000</v>
      </c>
      <c r="C38" s="267">
        <f>SUM('1b.mell '!D262)</f>
        <v>23000</v>
      </c>
      <c r="D38" s="267">
        <f>SUM('1b.mell '!E262)</f>
        <v>23000</v>
      </c>
      <c r="E38" s="267">
        <f>SUM('1b.mell '!F262)</f>
        <v>23000</v>
      </c>
      <c r="F38" s="267">
        <f>SUM('1b.mell '!G262)</f>
        <v>22537</v>
      </c>
      <c r="G38" s="279"/>
      <c r="H38" s="788"/>
      <c r="I38" s="788"/>
      <c r="J38" s="788"/>
      <c r="K38" s="788"/>
      <c r="L38" s="156"/>
    </row>
    <row r="39" spans="1:12" s="152" customFormat="1" ht="12.75" customHeight="1" thickBot="1">
      <c r="A39" s="258" t="s">
        <v>254</v>
      </c>
      <c r="B39" s="259">
        <f>SUM('1b.mell '!C263+'1b.mell '!C264)</f>
        <v>235000</v>
      </c>
      <c r="C39" s="259">
        <f>SUM('1b.mell '!D263+'1b.mell '!D264)</f>
        <v>235000</v>
      </c>
      <c r="D39" s="259">
        <f>SUM('1b.mell '!E263+'1b.mell '!E264)</f>
        <v>235000</v>
      </c>
      <c r="E39" s="259">
        <f>SUM('1b.mell '!F263+'1b.mell '!F264)</f>
        <v>235000</v>
      </c>
      <c r="F39" s="259">
        <f>SUM('1b.mell '!G263+'1b.mell '!G264)</f>
        <v>334520</v>
      </c>
      <c r="G39" s="279"/>
      <c r="H39" s="787"/>
      <c r="I39" s="787"/>
      <c r="J39" s="787"/>
      <c r="K39" s="787"/>
      <c r="L39" s="211"/>
    </row>
    <row r="40" spans="1:12" s="152" customFormat="1" ht="13.5" thickBot="1">
      <c r="A40" s="255" t="s">
        <v>255</v>
      </c>
      <c r="B40" s="269">
        <f>SUM(B38:B39)</f>
        <v>258000</v>
      </c>
      <c r="C40" s="269">
        <f>SUM(C38:C39)</f>
        <v>258000</v>
      </c>
      <c r="D40" s="269">
        <f>SUM(D38:D39)</f>
        <v>258000</v>
      </c>
      <c r="E40" s="269">
        <f>SUM(E38:E39)</f>
        <v>258000</v>
      </c>
      <c r="F40" s="269">
        <f>SUM(F38:F39)</f>
        <v>357057</v>
      </c>
      <c r="G40" s="280"/>
      <c r="H40" s="1133"/>
      <c r="I40" s="1133"/>
      <c r="J40" s="1133"/>
      <c r="K40" s="1133"/>
      <c r="L40" s="161"/>
    </row>
    <row r="41" spans="1:12" s="152" customFormat="1" ht="20.25" customHeight="1" thickBot="1" thickTop="1">
      <c r="A41" s="268" t="s">
        <v>73</v>
      </c>
      <c r="B41" s="172">
        <f>SUM(B40,B37,B33)</f>
        <v>3491034</v>
      </c>
      <c r="C41" s="172">
        <f>SUM(C40,C37,C33)</f>
        <v>3494763</v>
      </c>
      <c r="D41" s="172">
        <f>SUM(D40,D37,D33)</f>
        <v>3499328</v>
      </c>
      <c r="E41" s="172">
        <f>SUM(E40,E37,E33)</f>
        <v>2190328</v>
      </c>
      <c r="F41" s="172">
        <f>SUM(F40,F37,F33)</f>
        <v>1891343</v>
      </c>
      <c r="G41" s="175" t="s">
        <v>71</v>
      </c>
      <c r="H41" s="172">
        <f>SUM(H30:H40)</f>
        <v>5907420</v>
      </c>
      <c r="I41" s="172">
        <f>SUM(I30:I40)</f>
        <v>7609670</v>
      </c>
      <c r="J41" s="172">
        <f>SUM(J30:J40)</f>
        <v>7602639</v>
      </c>
      <c r="K41" s="172">
        <f>SUM(K30:K40)</f>
        <v>7649423</v>
      </c>
      <c r="L41" s="172">
        <f>SUM(L30:L40)</f>
        <v>7378231</v>
      </c>
    </row>
    <row r="42" spans="1:12" s="152" customFormat="1" ht="12.75" customHeight="1" thickTop="1">
      <c r="A42" s="195" t="s">
        <v>470</v>
      </c>
      <c r="B42" s="291">
        <f>SUM('1b.mell '!C267)</f>
        <v>108360</v>
      </c>
      <c r="C42" s="291">
        <f>SUM('1b.mell '!D267)</f>
        <v>3582547</v>
      </c>
      <c r="D42" s="291">
        <f>SUM('1b.mell '!E267)</f>
        <v>3582547</v>
      </c>
      <c r="E42" s="291">
        <f>SUM('1b.mell '!F267)</f>
        <v>3582547</v>
      </c>
      <c r="F42" s="291">
        <f>SUM('1b.mell '!G267)</f>
        <v>3582547</v>
      </c>
      <c r="G42" s="250"/>
      <c r="H42" s="291"/>
      <c r="I42" s="291"/>
      <c r="J42" s="291"/>
      <c r="K42" s="291"/>
      <c r="L42" s="291"/>
    </row>
    <row r="43" spans="1:12" s="152" customFormat="1" ht="12.75" customHeight="1">
      <c r="A43" s="250" t="s">
        <v>489</v>
      </c>
      <c r="B43" s="644"/>
      <c r="C43" s="644"/>
      <c r="D43" s="644"/>
      <c r="E43" s="644"/>
      <c r="F43" s="644">
        <f>SUM('1b.mell '!G271)</f>
        <v>42784</v>
      </c>
      <c r="G43" s="250" t="s">
        <v>498</v>
      </c>
      <c r="H43" s="645">
        <f>SUM('1c.mell '!C149)</f>
        <v>55360</v>
      </c>
      <c r="I43" s="645">
        <f>SUM('1c.mell '!D149)</f>
        <v>44400</v>
      </c>
      <c r="J43" s="645">
        <f>SUM('1c.mell '!E149)</f>
        <v>44400</v>
      </c>
      <c r="K43" s="645">
        <f>SUM('1c.mell '!F149)</f>
        <v>44400</v>
      </c>
      <c r="L43" s="645">
        <f>SUM('1c.mell '!G149)</f>
        <v>87184</v>
      </c>
    </row>
    <row r="44" spans="1:12" s="152" customFormat="1" ht="12.75" customHeight="1">
      <c r="A44" s="250" t="s">
        <v>507</v>
      </c>
      <c r="B44" s="159">
        <f>SUM('1b.mell '!C268)</f>
        <v>6578909</v>
      </c>
      <c r="C44" s="159">
        <f>SUM('1b.mell '!D268)</f>
        <v>6640351</v>
      </c>
      <c r="D44" s="159">
        <f>SUM('1b.mell '!E268)</f>
        <v>6700279</v>
      </c>
      <c r="E44" s="159">
        <f>SUM('1b.mell '!F268)</f>
        <v>6713096</v>
      </c>
      <c r="F44" s="159">
        <f>SUM('1b.mell '!G268)</f>
        <v>6714043</v>
      </c>
      <c r="G44" s="1166" t="s">
        <v>508</v>
      </c>
      <c r="H44" s="159">
        <f>SUM('1c.mell '!C148)</f>
        <v>6578909</v>
      </c>
      <c r="I44" s="159">
        <f>SUM('1c.mell '!D148)</f>
        <v>6640351</v>
      </c>
      <c r="J44" s="159">
        <f>SUM('1c.mell '!E148)</f>
        <v>6700279</v>
      </c>
      <c r="K44" s="159">
        <f>SUM('1c.mell '!F148)</f>
        <v>6713096</v>
      </c>
      <c r="L44" s="159">
        <f>SUM('1c.mell '!G148)</f>
        <v>6714043</v>
      </c>
    </row>
    <row r="45" spans="1:12" s="152" customFormat="1" ht="12.75" customHeight="1">
      <c r="A45" s="250" t="s">
        <v>452</v>
      </c>
      <c r="B45" s="159">
        <v>2000000</v>
      </c>
      <c r="C45" s="159">
        <v>2000000</v>
      </c>
      <c r="D45" s="159">
        <v>2000000</v>
      </c>
      <c r="E45" s="159">
        <v>2000000</v>
      </c>
      <c r="F45" s="159">
        <v>2000000</v>
      </c>
      <c r="G45" s="748" t="s">
        <v>506</v>
      </c>
      <c r="H45" s="159">
        <v>2000000</v>
      </c>
      <c r="I45" s="159">
        <v>2000000</v>
      </c>
      <c r="J45" s="159">
        <v>2000000</v>
      </c>
      <c r="K45" s="159">
        <v>2000000</v>
      </c>
      <c r="L45" s="159">
        <v>2000000</v>
      </c>
    </row>
    <row r="46" spans="1:12" s="152" customFormat="1" ht="12.75" customHeight="1" thickBot="1">
      <c r="A46" s="281" t="s">
        <v>486</v>
      </c>
      <c r="B46" s="747"/>
      <c r="C46" s="747">
        <f>SUM('1b.mell '!D270)</f>
        <v>474</v>
      </c>
      <c r="D46" s="747">
        <f>SUM('1b.mell '!E270)</f>
        <v>474</v>
      </c>
      <c r="E46" s="747">
        <f>SUM('1b.mell '!F270)</f>
        <v>474</v>
      </c>
      <c r="F46" s="747">
        <f>SUM('1b.mell '!G270)</f>
        <v>474</v>
      </c>
      <c r="G46" s="277"/>
      <c r="H46" s="284"/>
      <c r="I46" s="284"/>
      <c r="J46" s="284"/>
      <c r="K46" s="284"/>
      <c r="L46" s="284"/>
    </row>
    <row r="47" spans="1:12" s="152" customFormat="1" ht="15.75" thickBot="1" thickTop="1">
      <c r="A47" s="171" t="s">
        <v>66</v>
      </c>
      <c r="B47" s="160">
        <f>SUM(B42:B46)</f>
        <v>8687269</v>
      </c>
      <c r="C47" s="160">
        <f>SUM(C42:C46)</f>
        <v>12223372</v>
      </c>
      <c r="D47" s="160">
        <f>SUM(D42:D46)</f>
        <v>12283300</v>
      </c>
      <c r="E47" s="160">
        <f>SUM(E42:E46)</f>
        <v>12296117</v>
      </c>
      <c r="F47" s="160">
        <f>SUM(F42:F46)</f>
        <v>12339848</v>
      </c>
      <c r="G47" s="171" t="s">
        <v>67</v>
      </c>
      <c r="H47" s="216">
        <f>SUM(H43:H45)</f>
        <v>8634269</v>
      </c>
      <c r="I47" s="216">
        <f>SUM(I43:I45)</f>
        <v>8684751</v>
      </c>
      <c r="J47" s="216">
        <f>SUM(J43:J45)</f>
        <v>8744679</v>
      </c>
      <c r="K47" s="216">
        <f>SUM(K43:K45)</f>
        <v>8757496</v>
      </c>
      <c r="L47" s="216">
        <f>SUM(L43:L45)</f>
        <v>8801227</v>
      </c>
    </row>
    <row r="48" spans="1:12" s="152" customFormat="1" ht="12.75" thickTop="1">
      <c r="A48" s="1081" t="s">
        <v>470</v>
      </c>
      <c r="B48" s="1082">
        <f>SUM('1b.mell '!C273)</f>
        <v>2130468</v>
      </c>
      <c r="C48" s="1082">
        <f>SUM('1b.mell '!D273)</f>
        <v>2744866</v>
      </c>
      <c r="D48" s="1082">
        <f>SUM('1b.mell '!E273)</f>
        <v>2744866</v>
      </c>
      <c r="E48" s="1082">
        <f>SUM('1b.mell '!F273)</f>
        <v>2744866</v>
      </c>
      <c r="F48" s="1082">
        <f>SUM('1b.mell '!G273)</f>
        <v>2744866</v>
      </c>
      <c r="G48" s="1083" t="s">
        <v>491</v>
      </c>
      <c r="H48" s="1082">
        <f>SUM('1c.mell '!C152)</f>
        <v>48000</v>
      </c>
      <c r="I48" s="1082">
        <f>SUM('1c.mell '!D152)</f>
        <v>48000</v>
      </c>
      <c r="J48" s="1082">
        <f>SUM('1c.mell '!E152)</f>
        <v>48000</v>
      </c>
      <c r="K48" s="1082">
        <f>SUM('1c.mell '!F152)</f>
        <v>48000</v>
      </c>
      <c r="L48" s="1082">
        <f>SUM('1c.mell '!G152)</f>
        <v>48000</v>
      </c>
    </row>
    <row r="49" spans="1:12" s="152" customFormat="1" ht="12.75" thickBot="1">
      <c r="A49" s="281" t="s">
        <v>507</v>
      </c>
      <c r="B49" s="747"/>
      <c r="C49" s="747"/>
      <c r="D49" s="747"/>
      <c r="E49" s="747"/>
      <c r="F49" s="747"/>
      <c r="G49" s="154"/>
      <c r="H49" s="282"/>
      <c r="I49" s="161"/>
      <c r="J49" s="161"/>
      <c r="K49" s="161"/>
      <c r="L49" s="161"/>
    </row>
    <row r="50" spans="1:12" s="152" customFormat="1" ht="16.5" customHeight="1" thickBot="1" thickTop="1">
      <c r="A50" s="283" t="s">
        <v>256</v>
      </c>
      <c r="B50" s="160">
        <f>SUM(B48:B48)</f>
        <v>2130468</v>
      </c>
      <c r="C50" s="160">
        <f>SUM(C48:C48)</f>
        <v>2744866</v>
      </c>
      <c r="D50" s="160">
        <f>SUM(D48:D48)</f>
        <v>2744866</v>
      </c>
      <c r="E50" s="160">
        <f>SUM(E48:E48)</f>
        <v>2744866</v>
      </c>
      <c r="F50" s="160">
        <f>SUM(F48:F48)</f>
        <v>2744866</v>
      </c>
      <c r="G50" s="173" t="s">
        <v>48</v>
      </c>
      <c r="H50" s="216">
        <f>SUM(H48:H48)</f>
        <v>48000</v>
      </c>
      <c r="I50" s="285">
        <f>SUM(I48:I48)</f>
        <v>48000</v>
      </c>
      <c r="J50" s="285">
        <f>SUM(J48:J48)</f>
        <v>48000</v>
      </c>
      <c r="K50" s="285">
        <f>SUM(K48:K48)</f>
        <v>48000</v>
      </c>
      <c r="L50" s="285">
        <f>SUM(L48:L48)</f>
        <v>48000</v>
      </c>
    </row>
    <row r="51" spans="1:12" s="152" customFormat="1" ht="14.25" thickBot="1" thickTop="1">
      <c r="A51" s="271"/>
      <c r="B51" s="272"/>
      <c r="C51" s="272"/>
      <c r="D51" s="272"/>
      <c r="E51" s="272"/>
      <c r="F51" s="272"/>
      <c r="G51" s="286"/>
      <c r="H51" s="282"/>
      <c r="I51" s="282"/>
      <c r="J51" s="282"/>
      <c r="K51" s="282"/>
      <c r="L51" s="282"/>
    </row>
    <row r="52" spans="1:12" s="152" customFormat="1" ht="20.25" customHeight="1" thickBot="1" thickTop="1">
      <c r="A52" s="193" t="s">
        <v>490</v>
      </c>
      <c r="B52" s="174">
        <f>SUM(B28+B41+B48+B42+B45+B46)</f>
        <v>20674593</v>
      </c>
      <c r="C52" s="1153">
        <f>SUM(C28+C41+C48+C42+C45+C46)</f>
        <v>24872909</v>
      </c>
      <c r="D52" s="1153">
        <f>SUM(D28+D41+D48+D42+D45+D46)</f>
        <v>25076672</v>
      </c>
      <c r="E52" s="1153">
        <f>SUM(E28+E41+E48+E42+E45+E46)</f>
        <v>23799474</v>
      </c>
      <c r="F52" s="1153">
        <f>SUM(F28+F41+F48+F42+F45+F46+F43)</f>
        <v>23575289</v>
      </c>
      <c r="G52" s="193" t="s">
        <v>492</v>
      </c>
      <c r="H52" s="174">
        <f>SUM(H28+H41+H48+H43+H45)</f>
        <v>20674593</v>
      </c>
      <c r="I52" s="174">
        <f>SUM(I28+I41+I48+I43+I45)</f>
        <v>24872909</v>
      </c>
      <c r="J52" s="174">
        <f>SUM(J28+J41+J48+J43+J45)</f>
        <v>25076672</v>
      </c>
      <c r="K52" s="174">
        <f>SUM(K28+K41+K48+K43+K45)</f>
        <v>23799474</v>
      </c>
      <c r="L52" s="174">
        <f>SUM(L28+L41+L48+L43+L45)</f>
        <v>23575289</v>
      </c>
    </row>
    <row r="53" ht="15.75" thickTop="1">
      <c r="A53" s="151"/>
    </row>
    <row r="54" ht="15">
      <c r="A54" s="151"/>
    </row>
    <row r="55" ht="15">
      <c r="A55" s="151"/>
    </row>
  </sheetData>
  <sheetProtection/>
  <mergeCells count="14">
    <mergeCell ref="E4:E5"/>
    <mergeCell ref="L4:L5"/>
    <mergeCell ref="F4:F5"/>
    <mergeCell ref="K4:K5"/>
    <mergeCell ref="A1:G1"/>
    <mergeCell ref="A4:A5"/>
    <mergeCell ref="G4:G5"/>
    <mergeCell ref="C4:C5"/>
    <mergeCell ref="A2:J2"/>
    <mergeCell ref="D4:D5"/>
    <mergeCell ref="J4:J5"/>
    <mergeCell ref="I4:I5"/>
    <mergeCell ref="H4:H5"/>
    <mergeCell ref="B4:B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showZeros="0" zoomScalePageLayoutView="0" workbookViewId="0" topLeftCell="A1">
      <selection activeCell="H21" sqref="H21"/>
    </sheetView>
  </sheetViews>
  <sheetFormatPr defaultColWidth="9.00390625" defaultRowHeight="12.75"/>
  <cols>
    <col min="1" max="1" width="6.125" style="40" customWidth="1"/>
    <col min="2" max="2" width="52.00390625" style="40" customWidth="1"/>
    <col min="3" max="7" width="13.125" style="20" customWidth="1"/>
    <col min="8" max="8" width="9.875" style="220" customWidth="1"/>
    <col min="9" max="9" width="40.375" style="40" customWidth="1"/>
    <col min="10" max="16384" width="9.125" style="40" customWidth="1"/>
  </cols>
  <sheetData>
    <row r="1" spans="1:9" s="38" customFormat="1" ht="12.75">
      <c r="A1" s="1317" t="s">
        <v>156</v>
      </c>
      <c r="B1" s="1263"/>
      <c r="C1" s="1263"/>
      <c r="D1" s="1263"/>
      <c r="E1" s="1263"/>
      <c r="F1" s="1263"/>
      <c r="G1" s="1263"/>
      <c r="H1" s="1263"/>
      <c r="I1" s="1263"/>
    </row>
    <row r="2" spans="1:9" s="38" customFormat="1" ht="12.75">
      <c r="A2" s="1309" t="s">
        <v>1076</v>
      </c>
      <c r="B2" s="1310"/>
      <c r="C2" s="1310"/>
      <c r="D2" s="1310"/>
      <c r="E2" s="1310"/>
      <c r="F2" s="1310"/>
      <c r="G2" s="1310"/>
      <c r="H2" s="1310"/>
      <c r="I2" s="1310"/>
    </row>
    <row r="3" spans="1:9" s="38" customFormat="1" ht="12">
      <c r="A3" s="549"/>
      <c r="B3" s="549"/>
      <c r="C3" s="550"/>
      <c r="D3" s="550"/>
      <c r="E3" s="550"/>
      <c r="F3" s="550"/>
      <c r="G3" s="550"/>
      <c r="H3" s="551"/>
      <c r="I3" s="416" t="s">
        <v>191</v>
      </c>
    </row>
    <row r="4" spans="1:9" ht="12" customHeight="1">
      <c r="A4" s="498"/>
      <c r="B4" s="510"/>
      <c r="C4" s="1286" t="s">
        <v>1130</v>
      </c>
      <c r="D4" s="1286" t="s">
        <v>1187</v>
      </c>
      <c r="E4" s="1286" t="s">
        <v>1203</v>
      </c>
      <c r="F4" s="1286" t="s">
        <v>1224</v>
      </c>
      <c r="G4" s="1286" t="s">
        <v>1229</v>
      </c>
      <c r="H4" s="1318" t="s">
        <v>1237</v>
      </c>
      <c r="I4" s="418" t="s">
        <v>151</v>
      </c>
    </row>
    <row r="5" spans="1:9" ht="12" customHeight="1">
      <c r="A5" s="74" t="s">
        <v>293</v>
      </c>
      <c r="B5" s="512" t="s">
        <v>150</v>
      </c>
      <c r="C5" s="1287"/>
      <c r="D5" s="1287"/>
      <c r="E5" s="1287"/>
      <c r="F5" s="1287"/>
      <c r="G5" s="1287"/>
      <c r="H5" s="1319"/>
      <c r="I5" s="74" t="s">
        <v>152</v>
      </c>
    </row>
    <row r="6" spans="1:9" s="38" customFormat="1" ht="12.75" customHeight="1" thickBot="1">
      <c r="A6" s="74"/>
      <c r="B6" s="382"/>
      <c r="C6" s="1294"/>
      <c r="D6" s="1294"/>
      <c r="E6" s="1294"/>
      <c r="F6" s="1294"/>
      <c r="G6" s="1294"/>
      <c r="H6" s="1320"/>
      <c r="I6" s="382"/>
    </row>
    <row r="7" spans="1:9" s="38" customFormat="1" ht="12">
      <c r="A7" s="383" t="s">
        <v>172</v>
      </c>
      <c r="B7" s="383" t="s">
        <v>173</v>
      </c>
      <c r="C7" s="418" t="s">
        <v>174</v>
      </c>
      <c r="D7" s="418" t="s">
        <v>175</v>
      </c>
      <c r="E7" s="418" t="s">
        <v>176</v>
      </c>
      <c r="F7" s="418" t="s">
        <v>47</v>
      </c>
      <c r="G7" s="418" t="s">
        <v>386</v>
      </c>
      <c r="H7" s="418" t="s">
        <v>618</v>
      </c>
      <c r="I7" s="418" t="s">
        <v>620</v>
      </c>
    </row>
    <row r="8" spans="1:9" s="38" customFormat="1" ht="12.75">
      <c r="A8" s="466"/>
      <c r="B8" s="552" t="s">
        <v>284</v>
      </c>
      <c r="C8" s="423"/>
      <c r="D8" s="423"/>
      <c r="E8" s="423"/>
      <c r="F8" s="423"/>
      <c r="G8" s="423"/>
      <c r="H8" s="503"/>
      <c r="I8" s="462"/>
    </row>
    <row r="9" spans="1:9" ht="12">
      <c r="A9" s="74"/>
      <c r="B9" s="519" t="s">
        <v>270</v>
      </c>
      <c r="C9" s="553"/>
      <c r="D9" s="553"/>
      <c r="E9" s="553"/>
      <c r="F9" s="553"/>
      <c r="G9" s="553"/>
      <c r="H9" s="554"/>
      <c r="I9" s="374"/>
    </row>
    <row r="10" spans="1:9" ht="12">
      <c r="A10" s="444">
        <v>5012</v>
      </c>
      <c r="B10" s="731" t="s">
        <v>456</v>
      </c>
      <c r="C10" s="72">
        <v>2000</v>
      </c>
      <c r="D10" s="72">
        <v>4000</v>
      </c>
      <c r="E10" s="72">
        <v>4000</v>
      </c>
      <c r="F10" s="72">
        <v>4000</v>
      </c>
      <c r="G10" s="72">
        <v>4000</v>
      </c>
      <c r="H10" s="557">
        <f>SUM(G10/F10)</f>
        <v>1</v>
      </c>
      <c r="I10" s="525"/>
    </row>
    <row r="11" spans="1:9" ht="12">
      <c r="A11" s="466">
        <v>5010</v>
      </c>
      <c r="B11" s="730" t="s">
        <v>184</v>
      </c>
      <c r="C11" s="302">
        <f>SUM(C10:C10)</f>
        <v>2000</v>
      </c>
      <c r="D11" s="302">
        <f>SUM(D10:D10)</f>
        <v>4000</v>
      </c>
      <c r="E11" s="302">
        <f>SUM(E10:E10)</f>
        <v>4000</v>
      </c>
      <c r="F11" s="302">
        <f>SUM(F10:F10)</f>
        <v>4000</v>
      </c>
      <c r="G11" s="302">
        <f>SUM(G10:G10)</f>
        <v>4000</v>
      </c>
      <c r="H11" s="842">
        <f aca="true" t="shared" si="0" ref="H11:H61">SUM(G11/F11)</f>
        <v>1</v>
      </c>
      <c r="I11" s="73"/>
    </row>
    <row r="12" spans="1:9" s="38" customFormat="1" ht="12">
      <c r="A12" s="74"/>
      <c r="B12" s="539" t="s">
        <v>277</v>
      </c>
      <c r="C12" s="750"/>
      <c r="D12" s="750"/>
      <c r="E12" s="750"/>
      <c r="F12" s="750"/>
      <c r="G12" s="750"/>
      <c r="H12" s="557"/>
      <c r="I12" s="532"/>
    </row>
    <row r="13" spans="1:9" ht="12">
      <c r="A13" s="444">
        <v>5021</v>
      </c>
      <c r="B13" s="555" t="s">
        <v>12</v>
      </c>
      <c r="C13" s="72">
        <v>20000</v>
      </c>
      <c r="D13" s="72">
        <v>23560</v>
      </c>
      <c r="E13" s="72">
        <v>23560</v>
      </c>
      <c r="F13" s="72">
        <v>23560</v>
      </c>
      <c r="G13" s="1243">
        <v>23560</v>
      </c>
      <c r="H13" s="557">
        <f t="shared" si="0"/>
        <v>1</v>
      </c>
      <c r="I13" s="374"/>
    </row>
    <row r="14" spans="1:9" ht="12">
      <c r="A14" s="444">
        <v>5023</v>
      </c>
      <c r="B14" s="555" t="s">
        <v>429</v>
      </c>
      <c r="C14" s="72">
        <v>264784</v>
      </c>
      <c r="D14" s="72">
        <f>SUM(D15:D18)</f>
        <v>264784</v>
      </c>
      <c r="E14" s="72">
        <f>SUM(E15:E18)</f>
        <v>264784</v>
      </c>
      <c r="F14" s="72">
        <f>SUM(F15:F18)</f>
        <v>264784</v>
      </c>
      <c r="G14" s="1243">
        <f>SUM(G15:G18)</f>
        <v>264784</v>
      </c>
      <c r="H14" s="557">
        <f t="shared" si="0"/>
        <v>1</v>
      </c>
      <c r="I14" s="374"/>
    </row>
    <row r="15" spans="1:9" ht="12">
      <c r="A15" s="444"/>
      <c r="B15" s="1151" t="s">
        <v>344</v>
      </c>
      <c r="C15" s="72"/>
      <c r="D15" s="1152">
        <v>4592</v>
      </c>
      <c r="E15" s="1152">
        <v>4592</v>
      </c>
      <c r="F15" s="1152">
        <v>4592</v>
      </c>
      <c r="G15" s="1152">
        <v>4592</v>
      </c>
      <c r="H15" s="557">
        <f t="shared" si="0"/>
        <v>1</v>
      </c>
      <c r="I15" s="374"/>
    </row>
    <row r="16" spans="1:9" ht="12">
      <c r="A16" s="444"/>
      <c r="B16" s="1151" t="s">
        <v>1162</v>
      </c>
      <c r="C16" s="72"/>
      <c r="D16" s="1152">
        <v>895</v>
      </c>
      <c r="E16" s="1152">
        <v>895</v>
      </c>
      <c r="F16" s="1152">
        <v>895</v>
      </c>
      <c r="G16" s="1152">
        <v>895</v>
      </c>
      <c r="H16" s="557">
        <f t="shared" si="0"/>
        <v>1</v>
      </c>
      <c r="I16" s="374"/>
    </row>
    <row r="17" spans="1:9" ht="12">
      <c r="A17" s="444"/>
      <c r="B17" s="1151" t="s">
        <v>346</v>
      </c>
      <c r="C17" s="72"/>
      <c r="D17" s="1152">
        <v>322</v>
      </c>
      <c r="E17" s="1152">
        <v>322</v>
      </c>
      <c r="F17" s="1152">
        <v>3372</v>
      </c>
      <c r="G17" s="1152">
        <v>3372</v>
      </c>
      <c r="H17" s="557">
        <f t="shared" si="0"/>
        <v>1</v>
      </c>
      <c r="I17" s="374"/>
    </row>
    <row r="18" spans="1:9" ht="12">
      <c r="A18" s="444"/>
      <c r="B18" s="1151" t="s">
        <v>264</v>
      </c>
      <c r="C18" s="72"/>
      <c r="D18" s="1152">
        <v>258975</v>
      </c>
      <c r="E18" s="1152">
        <v>258975</v>
      </c>
      <c r="F18" s="1152">
        <v>255925</v>
      </c>
      <c r="G18" s="1152">
        <v>255925</v>
      </c>
      <c r="H18" s="557">
        <f t="shared" si="0"/>
        <v>1</v>
      </c>
      <c r="I18" s="374"/>
    </row>
    <row r="19" spans="1:9" ht="12">
      <c r="A19" s="444">
        <v>5024</v>
      </c>
      <c r="B19" s="555" t="s">
        <v>440</v>
      </c>
      <c r="C19" s="72">
        <v>525255</v>
      </c>
      <c r="D19" s="72">
        <v>734588</v>
      </c>
      <c r="E19" s="72">
        <v>734588</v>
      </c>
      <c r="F19" s="72">
        <f>SUM(F20:F21)</f>
        <v>734588</v>
      </c>
      <c r="G19" s="1243">
        <f>SUM(G20:G21)</f>
        <v>734588</v>
      </c>
      <c r="H19" s="557">
        <f t="shared" si="0"/>
        <v>1</v>
      </c>
      <c r="I19" s="374"/>
    </row>
    <row r="20" spans="1:9" ht="12">
      <c r="A20" s="444"/>
      <c r="B20" s="1151" t="s">
        <v>346</v>
      </c>
      <c r="C20" s="72"/>
      <c r="D20" s="72"/>
      <c r="E20" s="72"/>
      <c r="F20" s="1152">
        <v>1560</v>
      </c>
      <c r="G20" s="1152">
        <v>6264</v>
      </c>
      <c r="H20" s="557">
        <f t="shared" si="0"/>
        <v>4.015384615384615</v>
      </c>
      <c r="I20" s="374"/>
    </row>
    <row r="21" spans="1:9" ht="12">
      <c r="A21" s="444"/>
      <c r="B21" s="1151" t="s">
        <v>264</v>
      </c>
      <c r="C21" s="72"/>
      <c r="D21" s="72"/>
      <c r="E21" s="72"/>
      <c r="F21" s="1152">
        <v>733028</v>
      </c>
      <c r="G21" s="1152">
        <v>728324</v>
      </c>
      <c r="H21" s="557">
        <f t="shared" si="0"/>
        <v>0.9935827826495032</v>
      </c>
      <c r="I21" s="374"/>
    </row>
    <row r="22" spans="1:9" ht="12">
      <c r="A22" s="444">
        <v>5025</v>
      </c>
      <c r="B22" s="646" t="s">
        <v>1119</v>
      </c>
      <c r="C22" s="72">
        <v>60000</v>
      </c>
      <c r="D22" s="72">
        <v>60000</v>
      </c>
      <c r="E22" s="72"/>
      <c r="F22" s="72"/>
      <c r="G22" s="72"/>
      <c r="H22" s="557"/>
      <c r="I22" s="374"/>
    </row>
    <row r="23" spans="1:9" s="38" customFormat="1" ht="12">
      <c r="A23" s="466">
        <v>5020</v>
      </c>
      <c r="B23" s="637" t="s">
        <v>184</v>
      </c>
      <c r="C23" s="302">
        <f>SUM(C13:C22)</f>
        <v>870039</v>
      </c>
      <c r="D23" s="302">
        <f>SUM(D13+D14+D19+D22)</f>
        <v>1082932</v>
      </c>
      <c r="E23" s="302">
        <f>SUM(E13+E14+E19+E22)</f>
        <v>1022932</v>
      </c>
      <c r="F23" s="302">
        <f>SUM(F13+F14+F19+F22)</f>
        <v>1022932</v>
      </c>
      <c r="G23" s="302">
        <f>SUM(G13+G14+G19+G22)</f>
        <v>1022932</v>
      </c>
      <c r="H23" s="842">
        <f t="shared" si="0"/>
        <v>1</v>
      </c>
      <c r="I23" s="529"/>
    </row>
    <row r="24" spans="1:9" s="38" customFormat="1" ht="12" customHeight="1">
      <c r="A24" s="74"/>
      <c r="B24" s="558" t="s">
        <v>61</v>
      </c>
      <c r="C24" s="750"/>
      <c r="D24" s="750"/>
      <c r="E24" s="750"/>
      <c r="F24" s="750"/>
      <c r="G24" s="750"/>
      <c r="H24" s="557"/>
      <c r="I24" s="532"/>
    </row>
    <row r="25" spans="1:9" s="38" customFormat="1" ht="12" customHeight="1">
      <c r="A25" s="521">
        <v>5030</v>
      </c>
      <c r="B25" s="734" t="s">
        <v>449</v>
      </c>
      <c r="C25" s="750">
        <v>16150</v>
      </c>
      <c r="D25" s="750">
        <v>16988</v>
      </c>
      <c r="E25" s="750">
        <v>16988</v>
      </c>
      <c r="F25" s="750">
        <v>16988</v>
      </c>
      <c r="G25" s="750">
        <v>16988</v>
      </c>
      <c r="H25" s="557">
        <f t="shared" si="0"/>
        <v>1</v>
      </c>
      <c r="I25" s="523"/>
    </row>
    <row r="26" spans="1:9" s="38" customFormat="1" ht="12" customHeight="1">
      <c r="A26" s="521">
        <v>5031</v>
      </c>
      <c r="B26" s="840" t="s">
        <v>1154</v>
      </c>
      <c r="C26" s="750"/>
      <c r="D26" s="750">
        <v>8000</v>
      </c>
      <c r="E26" s="750">
        <v>8000</v>
      </c>
      <c r="F26" s="750">
        <v>8000</v>
      </c>
      <c r="G26" s="1244">
        <v>8000</v>
      </c>
      <c r="H26" s="557">
        <f t="shared" si="0"/>
        <v>1</v>
      </c>
      <c r="I26" s="523"/>
    </row>
    <row r="27" spans="1:9" s="38" customFormat="1" ht="12" customHeight="1">
      <c r="A27" s="521">
        <v>5032</v>
      </c>
      <c r="B27" s="840" t="s">
        <v>1109</v>
      </c>
      <c r="C27" s="750">
        <v>28500</v>
      </c>
      <c r="D27" s="750">
        <v>28500</v>
      </c>
      <c r="E27" s="750">
        <v>28500</v>
      </c>
      <c r="F27" s="750">
        <v>28500</v>
      </c>
      <c r="G27" s="1244">
        <v>28500</v>
      </c>
      <c r="H27" s="557">
        <f t="shared" si="0"/>
        <v>1</v>
      </c>
      <c r="I27" s="523"/>
    </row>
    <row r="28" spans="1:9" ht="12">
      <c r="A28" s="444">
        <v>5033</v>
      </c>
      <c r="B28" s="731" t="s">
        <v>29</v>
      </c>
      <c r="C28" s="72">
        <v>5000</v>
      </c>
      <c r="D28" s="72">
        <f>SUM(D29:D30)</f>
        <v>49686</v>
      </c>
      <c r="E28" s="72">
        <f>SUM(E29:E30)</f>
        <v>49686</v>
      </c>
      <c r="F28" s="72">
        <f>SUM(F29:F30)</f>
        <v>49686</v>
      </c>
      <c r="G28" s="1243">
        <f>SUM(G29:G30)</f>
        <v>49686</v>
      </c>
      <c r="H28" s="557">
        <f t="shared" si="0"/>
        <v>1</v>
      </c>
      <c r="I28" s="559"/>
    </row>
    <row r="29" spans="1:9" ht="12">
      <c r="A29" s="444"/>
      <c r="B29" s="1151" t="s">
        <v>346</v>
      </c>
      <c r="C29" s="72"/>
      <c r="D29" s="1152">
        <v>654</v>
      </c>
      <c r="E29" s="1152">
        <v>654</v>
      </c>
      <c r="F29" s="1152">
        <v>654</v>
      </c>
      <c r="G29" s="1245">
        <v>654</v>
      </c>
      <c r="H29" s="557">
        <f t="shared" si="0"/>
        <v>1</v>
      </c>
      <c r="I29" s="559"/>
    </row>
    <row r="30" spans="1:9" ht="12">
      <c r="A30" s="444"/>
      <c r="B30" s="1151" t="s">
        <v>264</v>
      </c>
      <c r="C30" s="72"/>
      <c r="D30" s="1152">
        <v>49032</v>
      </c>
      <c r="E30" s="1152">
        <v>49032</v>
      </c>
      <c r="F30" s="1152">
        <v>49032</v>
      </c>
      <c r="G30" s="1245">
        <v>49032</v>
      </c>
      <c r="H30" s="557">
        <f t="shared" si="0"/>
        <v>1</v>
      </c>
      <c r="I30" s="559"/>
    </row>
    <row r="31" spans="1:9" ht="12">
      <c r="A31" s="444">
        <v>5034</v>
      </c>
      <c r="B31" s="731" t="s">
        <v>251</v>
      </c>
      <c r="C31" s="72">
        <v>6650</v>
      </c>
      <c r="D31" s="72">
        <v>6650</v>
      </c>
      <c r="E31" s="72">
        <v>6650</v>
      </c>
      <c r="F31" s="72">
        <v>6650</v>
      </c>
      <c r="G31" s="1243">
        <v>6650</v>
      </c>
      <c r="H31" s="557">
        <f t="shared" si="0"/>
        <v>1</v>
      </c>
      <c r="I31" s="559"/>
    </row>
    <row r="32" spans="1:9" ht="12.75">
      <c r="A32" s="444">
        <v>5035</v>
      </c>
      <c r="B32" s="1192" t="s">
        <v>1220</v>
      </c>
      <c r="C32" s="72"/>
      <c r="D32" s="72"/>
      <c r="E32" s="72"/>
      <c r="F32" s="72">
        <v>6000</v>
      </c>
      <c r="G32" s="1243">
        <v>6000</v>
      </c>
      <c r="H32" s="557">
        <f t="shared" si="0"/>
        <v>1</v>
      </c>
      <c r="I32" s="559"/>
    </row>
    <row r="33" spans="1:9" ht="12">
      <c r="A33" s="444">
        <v>5036</v>
      </c>
      <c r="B33" s="731" t="s">
        <v>1096</v>
      </c>
      <c r="C33" s="72">
        <v>15200</v>
      </c>
      <c r="D33" s="72">
        <v>15200</v>
      </c>
      <c r="E33" s="72">
        <v>15200</v>
      </c>
      <c r="F33" s="72">
        <v>15200</v>
      </c>
      <c r="G33" s="1243">
        <v>15200</v>
      </c>
      <c r="H33" s="557">
        <f t="shared" si="0"/>
        <v>1</v>
      </c>
      <c r="I33" s="559"/>
    </row>
    <row r="34" spans="1:9" ht="12">
      <c r="A34" s="444">
        <v>5037</v>
      </c>
      <c r="B34" s="731" t="s">
        <v>1097</v>
      </c>
      <c r="C34" s="72">
        <v>133529</v>
      </c>
      <c r="D34" s="72">
        <v>133529</v>
      </c>
      <c r="E34" s="72">
        <v>133529</v>
      </c>
      <c r="F34" s="72">
        <v>133529</v>
      </c>
      <c r="G34" s="1243">
        <v>133529</v>
      </c>
      <c r="H34" s="557">
        <f t="shared" si="0"/>
        <v>1</v>
      </c>
      <c r="I34" s="559"/>
    </row>
    <row r="35" spans="1:9" ht="12">
      <c r="A35" s="444">
        <v>5039</v>
      </c>
      <c r="B35" s="555" t="s">
        <v>927</v>
      </c>
      <c r="C35" s="72">
        <v>50535</v>
      </c>
      <c r="D35" s="72">
        <v>106238</v>
      </c>
      <c r="E35" s="72">
        <v>106238</v>
      </c>
      <c r="F35" s="72">
        <v>106238</v>
      </c>
      <c r="G35" s="1243">
        <v>106238</v>
      </c>
      <c r="H35" s="557">
        <f t="shared" si="0"/>
        <v>1</v>
      </c>
      <c r="I35" s="559"/>
    </row>
    <row r="36" spans="1:9" ht="12">
      <c r="A36" s="444">
        <v>5044</v>
      </c>
      <c r="B36" s="555" t="s">
        <v>451</v>
      </c>
      <c r="C36" s="72"/>
      <c r="D36" s="72">
        <v>594</v>
      </c>
      <c r="E36" s="72">
        <v>594</v>
      </c>
      <c r="F36" s="72">
        <v>594</v>
      </c>
      <c r="G36" s="1243">
        <v>594</v>
      </c>
      <c r="H36" s="557">
        <f t="shared" si="0"/>
        <v>1</v>
      </c>
      <c r="I36" s="559"/>
    </row>
    <row r="37" spans="1:9" ht="12">
      <c r="A37" s="444">
        <v>5045</v>
      </c>
      <c r="B37" s="555" t="s">
        <v>1137</v>
      </c>
      <c r="C37" s="72"/>
      <c r="D37" s="72">
        <f>SUM(D38:D40)</f>
        <v>6105</v>
      </c>
      <c r="E37" s="72">
        <f>SUM(E38:E40)</f>
        <v>6105</v>
      </c>
      <c r="F37" s="72">
        <f>SUM(F38:F40)</f>
        <v>6105</v>
      </c>
      <c r="G37" s="1243">
        <f>SUM(G38:G40)</f>
        <v>6105</v>
      </c>
      <c r="H37" s="557">
        <f t="shared" si="0"/>
        <v>1</v>
      </c>
      <c r="I37" s="559"/>
    </row>
    <row r="38" spans="1:9" ht="12">
      <c r="A38" s="444"/>
      <c r="B38" s="1151" t="s">
        <v>344</v>
      </c>
      <c r="C38" s="72"/>
      <c r="D38" s="1152">
        <v>128</v>
      </c>
      <c r="E38" s="1152">
        <v>128</v>
      </c>
      <c r="F38" s="1152">
        <v>128</v>
      </c>
      <c r="G38" s="1245">
        <v>128</v>
      </c>
      <c r="H38" s="557">
        <f t="shared" si="0"/>
        <v>1</v>
      </c>
      <c r="I38" s="559"/>
    </row>
    <row r="39" spans="1:9" ht="12">
      <c r="A39" s="444"/>
      <c r="B39" s="1151" t="s">
        <v>1162</v>
      </c>
      <c r="C39" s="72"/>
      <c r="D39" s="1152">
        <v>25</v>
      </c>
      <c r="E39" s="1152">
        <v>25</v>
      </c>
      <c r="F39" s="1152">
        <v>25</v>
      </c>
      <c r="G39" s="1245">
        <v>25</v>
      </c>
      <c r="H39" s="557">
        <f t="shared" si="0"/>
        <v>1</v>
      </c>
      <c r="I39" s="559"/>
    </row>
    <row r="40" spans="1:9" ht="12">
      <c r="A40" s="444"/>
      <c r="B40" s="1151" t="s">
        <v>264</v>
      </c>
      <c r="C40" s="72"/>
      <c r="D40" s="1152">
        <v>5952</v>
      </c>
      <c r="E40" s="1152">
        <v>5952</v>
      </c>
      <c r="F40" s="1152">
        <v>5952</v>
      </c>
      <c r="G40" s="1245">
        <v>5952</v>
      </c>
      <c r="H40" s="557">
        <f t="shared" si="0"/>
        <v>1</v>
      </c>
      <c r="I40" s="559"/>
    </row>
    <row r="41" spans="1:9" ht="12">
      <c r="A41" s="444">
        <v>5046</v>
      </c>
      <c r="B41" s="555" t="s">
        <v>1140</v>
      </c>
      <c r="C41" s="72"/>
      <c r="D41" s="72">
        <v>4277</v>
      </c>
      <c r="E41" s="72">
        <v>4277</v>
      </c>
      <c r="F41" s="72">
        <v>4277</v>
      </c>
      <c r="G41" s="1243">
        <v>4277</v>
      </c>
      <c r="H41" s="557">
        <f t="shared" si="0"/>
        <v>1</v>
      </c>
      <c r="I41" s="559"/>
    </row>
    <row r="42" spans="1:9" ht="12">
      <c r="A42" s="444">
        <v>5047</v>
      </c>
      <c r="B42" s="555" t="s">
        <v>1168</v>
      </c>
      <c r="C42" s="72"/>
      <c r="D42" s="72">
        <v>5000</v>
      </c>
      <c r="E42" s="72">
        <v>5000</v>
      </c>
      <c r="F42" s="72">
        <v>5000</v>
      </c>
      <c r="G42" s="1243">
        <v>5000</v>
      </c>
      <c r="H42" s="557">
        <f t="shared" si="0"/>
        <v>1</v>
      </c>
      <c r="I42" s="559"/>
    </row>
    <row r="43" spans="1:9" ht="12">
      <c r="A43" s="444">
        <v>5048</v>
      </c>
      <c r="B43" s="555" t="s">
        <v>1169</v>
      </c>
      <c r="C43" s="72"/>
      <c r="D43" s="72">
        <v>8000</v>
      </c>
      <c r="E43" s="72">
        <v>8000</v>
      </c>
      <c r="F43" s="72">
        <v>8000</v>
      </c>
      <c r="G43" s="1243">
        <v>8000</v>
      </c>
      <c r="H43" s="557">
        <f t="shared" si="0"/>
        <v>1</v>
      </c>
      <c r="I43" s="559"/>
    </row>
    <row r="44" spans="1:9" ht="12">
      <c r="A44" s="444">
        <v>5049</v>
      </c>
      <c r="B44" s="555" t="s">
        <v>1175</v>
      </c>
      <c r="C44" s="72"/>
      <c r="D44" s="72">
        <v>45000</v>
      </c>
      <c r="E44" s="72">
        <v>45000</v>
      </c>
      <c r="F44" s="72">
        <v>45000</v>
      </c>
      <c r="G44" s="1243">
        <v>45000</v>
      </c>
      <c r="H44" s="557">
        <f t="shared" si="0"/>
        <v>1</v>
      </c>
      <c r="I44" s="559"/>
    </row>
    <row r="45" spans="1:9" ht="12" customHeight="1">
      <c r="A45" s="466">
        <v>5050</v>
      </c>
      <c r="B45" s="556" t="s">
        <v>184</v>
      </c>
      <c r="C45" s="302">
        <f>SUM(C25:C36)</f>
        <v>255564</v>
      </c>
      <c r="D45" s="302">
        <f>SUM(D25+D26+D27+D28+D31+D33+D34+D35+D36+D41+D37+D42+D43+D44)</f>
        <v>433767</v>
      </c>
      <c r="E45" s="302">
        <f>SUM(E25+E26+E27+E28+E31+E33+E34+E35+E36+E41+E37+E42+E43+E44)</f>
        <v>433767</v>
      </c>
      <c r="F45" s="302">
        <f>SUM(F25+F26+F27+F28+F31+F33+F34+F35+F36+F41+F37+F42+F43+F44+F32)</f>
        <v>439767</v>
      </c>
      <c r="G45" s="302">
        <f>SUM(G25+G26+G27+G28+G31+G33+G34+G35+G36+G41+G37+G42+G43+G44+G32)</f>
        <v>439767</v>
      </c>
      <c r="H45" s="842">
        <f t="shared" si="0"/>
        <v>1</v>
      </c>
      <c r="I45" s="529"/>
    </row>
    <row r="46" spans="1:9" ht="12" customHeight="1">
      <c r="A46" s="498"/>
      <c r="B46" s="647" t="s">
        <v>447</v>
      </c>
      <c r="C46" s="560"/>
      <c r="D46" s="560"/>
      <c r="E46" s="560"/>
      <c r="F46" s="560"/>
      <c r="G46" s="560"/>
      <c r="H46" s="557"/>
      <c r="I46" s="648"/>
    </row>
    <row r="47" spans="1:9" ht="12" customHeight="1">
      <c r="A47" s="521">
        <v>5062</v>
      </c>
      <c r="B47" s="734" t="s">
        <v>434</v>
      </c>
      <c r="C47" s="294">
        <v>6937</v>
      </c>
      <c r="D47" s="294">
        <v>6937</v>
      </c>
      <c r="E47" s="294">
        <v>14617</v>
      </c>
      <c r="F47" s="294">
        <v>14617</v>
      </c>
      <c r="G47" s="294">
        <v>14617</v>
      </c>
      <c r="H47" s="1252">
        <f t="shared" si="0"/>
        <v>1</v>
      </c>
      <c r="I47" s="735"/>
    </row>
    <row r="48" spans="1:9" ht="12" customHeight="1">
      <c r="A48" s="466">
        <v>5060</v>
      </c>
      <c r="B48" s="556" t="s">
        <v>184</v>
      </c>
      <c r="C48" s="302">
        <f>SUM(C47:C47)</f>
        <v>6937</v>
      </c>
      <c r="D48" s="302">
        <f>SUM(D47:D47)</f>
        <v>6937</v>
      </c>
      <c r="E48" s="302">
        <f>SUM(E47:E47)</f>
        <v>14617</v>
      </c>
      <c r="F48" s="302">
        <f>SUM(F47:F47)</f>
        <v>14617</v>
      </c>
      <c r="G48" s="302">
        <f>SUM(G47:G47)</f>
        <v>14617</v>
      </c>
      <c r="H48" s="842">
        <f t="shared" si="0"/>
        <v>1</v>
      </c>
      <c r="I48" s="529"/>
    </row>
    <row r="49" spans="1:9" ht="15.75" customHeight="1">
      <c r="A49" s="365"/>
      <c r="B49" s="649" t="s">
        <v>285</v>
      </c>
      <c r="C49" s="304">
        <f>SUM(C45+C23+C11+C48)</f>
        <v>1134540</v>
      </c>
      <c r="D49" s="304">
        <f>SUM(D45+D23+D11+D48)</f>
        <v>1527636</v>
      </c>
      <c r="E49" s="304">
        <f>SUM(E45+E23+E11+E48)</f>
        <v>1475316</v>
      </c>
      <c r="F49" s="304">
        <f>SUM(F45+F23+F11+F48)</f>
        <v>1481316</v>
      </c>
      <c r="G49" s="304">
        <f>SUM(G45+G23+G11+G48)</f>
        <v>1481316</v>
      </c>
      <c r="H49" s="842">
        <f t="shared" si="0"/>
        <v>1</v>
      </c>
      <c r="I49" s="542"/>
    </row>
    <row r="50" spans="1:9" ht="12">
      <c r="A50" s="74"/>
      <c r="B50" s="544" t="s">
        <v>75</v>
      </c>
      <c r="C50" s="560"/>
      <c r="D50" s="560"/>
      <c r="E50" s="560"/>
      <c r="F50" s="560"/>
      <c r="G50" s="560"/>
      <c r="H50" s="557"/>
      <c r="I50" s="374"/>
    </row>
    <row r="51" spans="1:9" ht="12">
      <c r="A51" s="74"/>
      <c r="B51" s="374" t="s">
        <v>118</v>
      </c>
      <c r="C51" s="294"/>
      <c r="D51" s="294">
        <f aca="true" t="shared" si="1" ref="D51:F52">SUM(D15+D38)</f>
        <v>4720</v>
      </c>
      <c r="E51" s="294">
        <f t="shared" si="1"/>
        <v>4720</v>
      </c>
      <c r="F51" s="294">
        <f t="shared" si="1"/>
        <v>4720</v>
      </c>
      <c r="G51" s="294">
        <f>SUM(G15+G38)</f>
        <v>4720</v>
      </c>
      <c r="H51" s="557">
        <f t="shared" si="0"/>
        <v>1</v>
      </c>
      <c r="I51" s="374"/>
    </row>
    <row r="52" spans="1:9" ht="12">
      <c r="A52" s="74"/>
      <c r="B52" s="545" t="s">
        <v>113</v>
      </c>
      <c r="C52" s="294"/>
      <c r="D52" s="294">
        <f t="shared" si="1"/>
        <v>920</v>
      </c>
      <c r="E52" s="294">
        <f t="shared" si="1"/>
        <v>920</v>
      </c>
      <c r="F52" s="294">
        <f t="shared" si="1"/>
        <v>920</v>
      </c>
      <c r="G52" s="294">
        <f>SUM(G16+G39)</f>
        <v>920</v>
      </c>
      <c r="H52" s="557">
        <f t="shared" si="0"/>
        <v>1</v>
      </c>
      <c r="I52" s="374"/>
    </row>
    <row r="53" spans="1:9" ht="12" customHeight="1">
      <c r="A53" s="370"/>
      <c r="B53" s="545" t="s">
        <v>114</v>
      </c>
      <c r="C53" s="545"/>
      <c r="D53" s="294">
        <f>SUM(D17+D29)</f>
        <v>976</v>
      </c>
      <c r="E53" s="294">
        <f>SUM(E17+E29)</f>
        <v>976</v>
      </c>
      <c r="F53" s="294">
        <f>SUM(F17+F29+F20)</f>
        <v>5586</v>
      </c>
      <c r="G53" s="294">
        <f>SUM(G17+G29+G20)</f>
        <v>10290</v>
      </c>
      <c r="H53" s="557">
        <f t="shared" si="0"/>
        <v>1.8421052631578947</v>
      </c>
      <c r="I53" s="374"/>
    </row>
    <row r="54" spans="1:9" ht="10.5" customHeight="1">
      <c r="A54" s="370"/>
      <c r="B54" s="545" t="s">
        <v>307</v>
      </c>
      <c r="C54" s="375"/>
      <c r="D54" s="375"/>
      <c r="E54" s="375"/>
      <c r="F54" s="375"/>
      <c r="G54" s="375"/>
      <c r="H54" s="557"/>
      <c r="I54" s="374"/>
    </row>
    <row r="55" spans="1:9" ht="12" customHeight="1">
      <c r="A55" s="370"/>
      <c r="B55" s="546" t="s">
        <v>65</v>
      </c>
      <c r="C55" s="561">
        <f>SUM(C51:C54)</f>
        <v>0</v>
      </c>
      <c r="D55" s="561">
        <f>SUM(D51:D54)</f>
        <v>6616</v>
      </c>
      <c r="E55" s="561">
        <f>SUM(E51:E54)</f>
        <v>6616</v>
      </c>
      <c r="F55" s="561">
        <f>SUM(F51:F54)</f>
        <v>11226</v>
      </c>
      <c r="G55" s="561">
        <f>SUM(G51:G54)</f>
        <v>15930</v>
      </c>
      <c r="H55" s="841">
        <f t="shared" si="0"/>
        <v>1.4190272581507215</v>
      </c>
      <c r="I55" s="374"/>
    </row>
    <row r="56" spans="1:9" ht="12" customHeight="1">
      <c r="A56" s="370"/>
      <c r="B56" s="547" t="s">
        <v>76</v>
      </c>
      <c r="C56" s="375"/>
      <c r="D56" s="375"/>
      <c r="E56" s="375"/>
      <c r="F56" s="375"/>
      <c r="G56" s="375"/>
      <c r="H56" s="557"/>
      <c r="I56" s="374"/>
    </row>
    <row r="57" spans="1:9" ht="10.5" customHeight="1">
      <c r="A57" s="370"/>
      <c r="B57" s="545" t="s">
        <v>262</v>
      </c>
      <c r="C57" s="375"/>
      <c r="D57" s="375"/>
      <c r="E57" s="375"/>
      <c r="F57" s="375"/>
      <c r="G57" s="375"/>
      <c r="H57" s="557"/>
      <c r="I57" s="374"/>
    </row>
    <row r="58" spans="1:9" ht="12" customHeight="1">
      <c r="A58" s="370"/>
      <c r="B58" s="545" t="s">
        <v>441</v>
      </c>
      <c r="C58" s="375">
        <f>SUM(C45+C23+C11+C48)-C53-C51-C52-C59-C57</f>
        <v>1134540</v>
      </c>
      <c r="D58" s="375">
        <f>SUM(D45+D23+D11+D48)-D53-D51-D52-D59-D57</f>
        <v>1521020</v>
      </c>
      <c r="E58" s="375">
        <f>SUM(E45+E23+E11+E48)-E53-E51-E52-E59-E57</f>
        <v>1468700</v>
      </c>
      <c r="F58" s="375">
        <f>SUM(F45+F23+F11+F48)-F53-F51-F52-F59-F57</f>
        <v>1470090</v>
      </c>
      <c r="G58" s="375">
        <f>SUM(G45+G23+G11+G48)-G53-G51-G52-G59-G57</f>
        <v>1465386</v>
      </c>
      <c r="H58" s="557">
        <f t="shared" si="0"/>
        <v>0.996800195906373</v>
      </c>
      <c r="I58" s="374"/>
    </row>
    <row r="59" spans="1:9" ht="12" customHeight="1">
      <c r="A59" s="370"/>
      <c r="B59" s="545" t="s">
        <v>342</v>
      </c>
      <c r="C59" s="375"/>
      <c r="D59" s="375"/>
      <c r="E59" s="375"/>
      <c r="F59" s="375"/>
      <c r="G59" s="375"/>
      <c r="H59" s="557"/>
      <c r="I59" s="374"/>
    </row>
    <row r="60" spans="1:9" ht="12" customHeight="1">
      <c r="A60" s="537"/>
      <c r="B60" s="303" t="s">
        <v>71</v>
      </c>
      <c r="C60" s="391">
        <f>SUM(C57:C59)</f>
        <v>1134540</v>
      </c>
      <c r="D60" s="391">
        <f>SUM(D57:D59)</f>
        <v>1521020</v>
      </c>
      <c r="E60" s="391">
        <f>SUM(E57:E59)</f>
        <v>1468700</v>
      </c>
      <c r="F60" s="391">
        <f>SUM(F57:F59)</f>
        <v>1470090</v>
      </c>
      <c r="G60" s="391">
        <f>SUM(G57:G59)</f>
        <v>1465386</v>
      </c>
      <c r="H60" s="1253">
        <f t="shared" si="0"/>
        <v>0.996800195906373</v>
      </c>
      <c r="I60" s="371"/>
    </row>
    <row r="61" spans="1:9" ht="12" customHeight="1">
      <c r="A61" s="562"/>
      <c r="B61" s="529" t="s">
        <v>117</v>
      </c>
      <c r="C61" s="563">
        <f>SUM(C45+C23+C11+C48)</f>
        <v>1134540</v>
      </c>
      <c r="D61" s="563">
        <f>SUM(D45+D23+D11+D48)</f>
        <v>1527636</v>
      </c>
      <c r="E61" s="563">
        <f>SUM(E45+E23+E11+E48)</f>
        <v>1475316</v>
      </c>
      <c r="F61" s="563">
        <f>SUM(F45+F23+F11+F48)</f>
        <v>1481316</v>
      </c>
      <c r="G61" s="563">
        <f>SUM(G45+G23+G11+G48)</f>
        <v>1481316</v>
      </c>
      <c r="H61" s="842">
        <f t="shared" si="0"/>
        <v>1</v>
      </c>
      <c r="I61" s="73"/>
    </row>
    <row r="62" ht="5.25" customHeight="1"/>
    <row r="63" ht="12">
      <c r="B63" s="40" t="s">
        <v>1242</v>
      </c>
    </row>
  </sheetData>
  <sheetProtection/>
  <mergeCells count="8">
    <mergeCell ref="A2:I2"/>
    <mergeCell ref="A1:I1"/>
    <mergeCell ref="H4:H6"/>
    <mergeCell ref="C4:C6"/>
    <mergeCell ref="D4:D6"/>
    <mergeCell ref="E4:E6"/>
    <mergeCell ref="F4:F6"/>
    <mergeCell ref="G4:G6"/>
  </mergeCells>
  <printOptions horizontalCentered="1"/>
  <pageMargins left="0" right="0" top="0" bottom="0.07874015748031496" header="0.31496062992125984" footer="0"/>
  <pageSetup firstPageNumber="46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showZeros="0" zoomScalePageLayoutView="0" workbookViewId="0" topLeftCell="A1">
      <selection activeCell="E11" sqref="E11"/>
    </sheetView>
  </sheetViews>
  <sheetFormatPr defaultColWidth="9.00390625" defaultRowHeight="12.75"/>
  <cols>
    <col min="1" max="1" width="10.125" style="60" customWidth="1"/>
    <col min="2" max="2" width="52.375" style="59" customWidth="1"/>
    <col min="3" max="3" width="11.625" style="59" customWidth="1"/>
    <col min="4" max="4" width="10.75390625" style="59" customWidth="1"/>
    <col min="5" max="5" width="12.00390625" style="59" customWidth="1"/>
    <col min="6" max="6" width="10.625" style="59" customWidth="1"/>
    <col min="7" max="7" width="11.375" style="59" customWidth="1"/>
    <col min="8" max="16384" width="9.125" style="59" customWidth="1"/>
  </cols>
  <sheetData>
    <row r="1" spans="1:7" ht="12.75" customHeight="1">
      <c r="A1" s="1321" t="s">
        <v>116</v>
      </c>
      <c r="B1" s="1321"/>
      <c r="C1" s="1321"/>
      <c r="D1" s="1321"/>
      <c r="E1" s="1321"/>
      <c r="F1" s="1321"/>
      <c r="G1" s="1321"/>
    </row>
    <row r="2" ht="12.75">
      <c r="B2" s="60"/>
    </row>
    <row r="3" spans="1:7" s="56" customFormat="1" ht="12.75" customHeight="1">
      <c r="A3" s="1327" t="s">
        <v>1079</v>
      </c>
      <c r="B3" s="1327"/>
      <c r="C3" s="1327"/>
      <c r="D3" s="1327"/>
      <c r="E3" s="1327"/>
      <c r="F3" s="1327"/>
      <c r="G3" s="1327"/>
    </row>
    <row r="4" s="56" customFormat="1" ht="12.75"/>
    <row r="5" s="56" customFormat="1" ht="12.75"/>
    <row r="6" spans="4:7" s="56" customFormat="1" ht="12.75">
      <c r="D6" s="1117"/>
      <c r="E6" s="1117"/>
      <c r="F6" s="1117"/>
      <c r="G6" s="1117" t="s">
        <v>385</v>
      </c>
    </row>
    <row r="7" spans="1:7" s="56" customFormat="1" ht="12.75" customHeight="1">
      <c r="A7" s="1322" t="s">
        <v>293</v>
      </c>
      <c r="B7" s="1322" t="s">
        <v>171</v>
      </c>
      <c r="C7" s="1258" t="s">
        <v>1130</v>
      </c>
      <c r="D7" s="1258" t="s">
        <v>1187</v>
      </c>
      <c r="E7" s="1258" t="s">
        <v>1203</v>
      </c>
      <c r="F7" s="1258" t="s">
        <v>1224</v>
      </c>
      <c r="G7" s="1258" t="s">
        <v>1229</v>
      </c>
    </row>
    <row r="8" spans="1:7" s="56" customFormat="1" ht="12.75">
      <c r="A8" s="1325"/>
      <c r="B8" s="1323"/>
      <c r="C8" s="1307"/>
      <c r="D8" s="1307"/>
      <c r="E8" s="1307"/>
      <c r="F8" s="1307"/>
      <c r="G8" s="1307"/>
    </row>
    <row r="9" spans="1:7" s="56" customFormat="1" ht="13.5" thickBot="1">
      <c r="A9" s="1326"/>
      <c r="B9" s="1324"/>
      <c r="C9" s="1275"/>
      <c r="D9" s="1275"/>
      <c r="E9" s="1275"/>
      <c r="F9" s="1275"/>
      <c r="G9" s="1275"/>
    </row>
    <row r="10" spans="1:7" s="56" customFormat="1" ht="12.75">
      <c r="A10" s="68" t="s">
        <v>172</v>
      </c>
      <c r="B10" s="68" t="s">
        <v>173</v>
      </c>
      <c r="C10" s="68" t="s">
        <v>174</v>
      </c>
      <c r="D10" s="68" t="s">
        <v>175</v>
      </c>
      <c r="E10" s="68" t="s">
        <v>176</v>
      </c>
      <c r="F10" s="68" t="s">
        <v>47</v>
      </c>
      <c r="G10" s="68" t="s">
        <v>386</v>
      </c>
    </row>
    <row r="11" spans="1:7" s="56" customFormat="1" ht="12.75">
      <c r="A11" s="12"/>
      <c r="B11" s="12"/>
      <c r="C11" s="779"/>
      <c r="D11" s="779"/>
      <c r="E11" s="779"/>
      <c r="F11" s="779"/>
      <c r="G11" s="779"/>
    </row>
    <row r="12" spans="1:7" s="28" customFormat="1" ht="12.75">
      <c r="A12" s="17">
        <v>6110</v>
      </c>
      <c r="B12" s="15" t="s">
        <v>62</v>
      </c>
      <c r="C12" s="752">
        <v>114162</v>
      </c>
      <c r="D12" s="752">
        <v>161832</v>
      </c>
      <c r="E12" s="752">
        <v>218921</v>
      </c>
      <c r="F12" s="752">
        <v>166366</v>
      </c>
      <c r="G12" s="752">
        <v>83242</v>
      </c>
    </row>
    <row r="13" spans="1:7" ht="12.75">
      <c r="A13" s="57"/>
      <c r="B13" s="58"/>
      <c r="C13" s="751"/>
      <c r="D13" s="751"/>
      <c r="E13" s="751"/>
      <c r="F13" s="751"/>
      <c r="G13" s="751"/>
    </row>
    <row r="14" spans="1:7" s="28" customFormat="1" ht="12.75">
      <c r="A14" s="17">
        <v>6120</v>
      </c>
      <c r="B14" s="15" t="s">
        <v>64</v>
      </c>
      <c r="C14" s="752">
        <f>SUM(C15:C16)</f>
        <v>18500</v>
      </c>
      <c r="D14" s="752">
        <f>SUM(D15:D16)</f>
        <v>1772009</v>
      </c>
      <c r="E14" s="752">
        <f>SUM(E15:E16)</f>
        <v>1772009</v>
      </c>
      <c r="F14" s="752">
        <f>SUM(F15:F16)</f>
        <v>453762</v>
      </c>
      <c r="G14" s="752">
        <f>SUM(G15:G16)</f>
        <v>453762</v>
      </c>
    </row>
    <row r="15" spans="1:7" s="28" customFormat="1" ht="12.75">
      <c r="A15" s="57">
        <v>6121</v>
      </c>
      <c r="B15" s="58" t="s">
        <v>349</v>
      </c>
      <c r="C15" s="751">
        <v>18500</v>
      </c>
      <c r="D15" s="751">
        <v>9247</v>
      </c>
      <c r="E15" s="751">
        <v>9247</v>
      </c>
      <c r="F15" s="751"/>
      <c r="G15" s="751"/>
    </row>
    <row r="16" spans="1:7" ht="12.75">
      <c r="A16" s="149">
        <v>6127</v>
      </c>
      <c r="B16" s="1144" t="s">
        <v>1156</v>
      </c>
      <c r="C16" s="780"/>
      <c r="D16" s="780">
        <v>1762762</v>
      </c>
      <c r="E16" s="780">
        <v>1762762</v>
      </c>
      <c r="F16" s="780">
        <v>453762</v>
      </c>
      <c r="G16" s="780">
        <v>453762</v>
      </c>
    </row>
    <row r="17" spans="1:7" ht="12.75">
      <c r="A17" s="57"/>
      <c r="B17" s="58"/>
      <c r="C17" s="751"/>
      <c r="D17" s="751"/>
      <c r="E17" s="751"/>
      <c r="F17" s="751"/>
      <c r="G17" s="751"/>
    </row>
    <row r="18" spans="1:7" s="28" customFormat="1" ht="12.75">
      <c r="A18" s="17">
        <v>6100</v>
      </c>
      <c r="B18" s="15" t="s">
        <v>158</v>
      </c>
      <c r="C18" s="752">
        <f>SUM(C12+C14)</f>
        <v>132662</v>
      </c>
      <c r="D18" s="752">
        <f>SUM(D12+D14)</f>
        <v>1933841</v>
      </c>
      <c r="E18" s="752">
        <f>SUM(E12+E14)</f>
        <v>1990930</v>
      </c>
      <c r="F18" s="752">
        <f>SUM(F12+F14)</f>
        <v>620128</v>
      </c>
      <c r="G18" s="752">
        <f>SUM(G12+G14)</f>
        <v>537004</v>
      </c>
    </row>
    <row r="21" ht="12.75">
      <c r="A21" s="586"/>
    </row>
    <row r="22" ht="12.75">
      <c r="A22" s="586"/>
    </row>
  </sheetData>
  <sheetProtection/>
  <mergeCells count="9">
    <mergeCell ref="A1:G1"/>
    <mergeCell ref="G7:G9"/>
    <mergeCell ref="F7:F9"/>
    <mergeCell ref="E7:E9"/>
    <mergeCell ref="D7:D9"/>
    <mergeCell ref="B7:B9"/>
    <mergeCell ref="C7:C9"/>
    <mergeCell ref="A7:A9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16"/>
  <sheetViews>
    <sheetView zoomScalePageLayoutView="0" workbookViewId="0" topLeftCell="A1">
      <selection activeCell="E112" sqref="E112"/>
    </sheetView>
  </sheetViews>
  <sheetFormatPr defaultColWidth="9.00390625" defaultRowHeight="12.75"/>
  <cols>
    <col min="1" max="1" width="9.125" style="858" customWidth="1"/>
    <col min="2" max="2" width="7.00390625" style="858" customWidth="1"/>
    <col min="3" max="3" width="23.375" style="858" customWidth="1"/>
    <col min="4" max="4" width="10.375" style="858" customWidth="1"/>
    <col min="5" max="5" width="10.875" style="858" customWidth="1"/>
    <col min="6" max="6" width="10.125" style="858" customWidth="1"/>
    <col min="7" max="7" width="10.875" style="858" customWidth="1"/>
    <col min="8" max="9" width="11.00390625" style="858" customWidth="1"/>
    <col min="10" max="12" width="10.625" style="858" customWidth="1"/>
    <col min="13" max="16384" width="9.125" style="858" customWidth="1"/>
  </cols>
  <sheetData>
    <row r="2" spans="2:12" ht="12.75">
      <c r="B2" s="1342" t="s">
        <v>526</v>
      </c>
      <c r="C2" s="1342"/>
      <c r="D2" s="1342"/>
      <c r="E2" s="1342"/>
      <c r="F2" s="1342"/>
      <c r="G2" s="1342"/>
      <c r="H2" s="1342"/>
      <c r="I2" s="1342"/>
      <c r="J2" s="1342"/>
      <c r="K2" s="1342"/>
      <c r="L2" s="1342"/>
    </row>
    <row r="3" spans="2:12" ht="12.75">
      <c r="B3" s="859"/>
      <c r="C3" s="860"/>
      <c r="D3" s="860"/>
      <c r="E3" s="860"/>
      <c r="F3" s="860"/>
      <c r="G3" s="860"/>
      <c r="H3" s="860"/>
      <c r="I3" s="860"/>
      <c r="J3" s="860"/>
      <c r="K3" s="860"/>
      <c r="L3" s="860"/>
    </row>
    <row r="4" spans="2:12" ht="12.75">
      <c r="B4" s="1342" t="s">
        <v>527</v>
      </c>
      <c r="C4" s="1313"/>
      <c r="D4" s="1313"/>
      <c r="E4" s="1313"/>
      <c r="F4" s="1313"/>
      <c r="G4" s="1313"/>
      <c r="H4" s="1313"/>
      <c r="I4" s="1313"/>
      <c r="J4" s="1313"/>
      <c r="K4" s="1313"/>
      <c r="L4" s="1313"/>
    </row>
    <row r="5" spans="5:10" ht="15.75">
      <c r="E5" s="861"/>
      <c r="F5" s="861"/>
      <c r="G5" s="861"/>
      <c r="H5" s="861"/>
      <c r="I5" s="861"/>
      <c r="J5" s="861"/>
    </row>
    <row r="6" spans="2:10" ht="12.75">
      <c r="B6" s="1343" t="s">
        <v>528</v>
      </c>
      <c r="C6" s="1344"/>
      <c r="D6" s="1344"/>
      <c r="E6" s="1344"/>
      <c r="F6" s="1344"/>
      <c r="G6" s="862"/>
      <c r="H6" s="862"/>
      <c r="I6" s="862"/>
      <c r="J6" s="862"/>
    </row>
    <row r="7" spans="2:12" ht="12.75">
      <c r="B7" s="863"/>
      <c r="C7" s="863"/>
      <c r="D7" s="863"/>
      <c r="E7" s="864" t="s">
        <v>385</v>
      </c>
      <c r="F7" s="865"/>
      <c r="G7" s="865"/>
      <c r="H7" s="865"/>
      <c r="I7" s="865"/>
      <c r="J7" s="865"/>
      <c r="K7" s="865"/>
      <c r="L7" s="865"/>
    </row>
    <row r="8" spans="2:12" ht="22.5" customHeight="1">
      <c r="B8" s="1333" t="s">
        <v>529</v>
      </c>
      <c r="C8" s="1333" t="s">
        <v>530</v>
      </c>
      <c r="D8" s="1333" t="s">
        <v>531</v>
      </c>
      <c r="E8" s="1332" t="s">
        <v>186</v>
      </c>
      <c r="F8" s="1328"/>
      <c r="G8" s="1328"/>
      <c r="H8" s="1328"/>
      <c r="I8" s="1328"/>
      <c r="J8" s="1328"/>
      <c r="K8" s="1328"/>
      <c r="L8" s="1328"/>
    </row>
    <row r="9" spans="2:12" ht="21.75" customHeight="1">
      <c r="B9" s="1333"/>
      <c r="C9" s="1333"/>
      <c r="D9" s="1333"/>
      <c r="E9" s="1333"/>
      <c r="F9" s="1328"/>
      <c r="G9" s="1328"/>
      <c r="H9" s="1328"/>
      <c r="I9" s="1328"/>
      <c r="J9" s="1328"/>
      <c r="K9" s="1328"/>
      <c r="L9" s="1328"/>
    </row>
    <row r="10" spans="2:12" ht="18" customHeight="1" thickBot="1">
      <c r="B10" s="1334"/>
      <c r="C10" s="1334"/>
      <c r="D10" s="1334"/>
      <c r="E10" s="1334"/>
      <c r="F10" s="1329"/>
      <c r="G10" s="1329"/>
      <c r="H10" s="1329"/>
      <c r="I10" s="1329"/>
      <c r="J10" s="1329"/>
      <c r="K10" s="1329"/>
      <c r="L10" s="1329"/>
    </row>
    <row r="11" spans="2:12" ht="13.5" thickTop="1">
      <c r="B11" s="1341" t="s">
        <v>534</v>
      </c>
      <c r="C11" s="866" t="s">
        <v>532</v>
      </c>
      <c r="D11" s="867">
        <v>48000</v>
      </c>
      <c r="E11" s="868">
        <f aca="true" t="shared" si="0" ref="E11:E23">SUM(D11)</f>
        <v>48000</v>
      </c>
      <c r="F11" s="869"/>
      <c r="G11" s="869"/>
      <c r="H11" s="869"/>
      <c r="I11" s="869"/>
      <c r="J11" s="869"/>
      <c r="K11" s="869"/>
      <c r="L11" s="869"/>
    </row>
    <row r="12" spans="2:12" ht="12.75">
      <c r="B12" s="1341"/>
      <c r="C12" s="866" t="s">
        <v>533</v>
      </c>
      <c r="D12" s="867">
        <v>1591</v>
      </c>
      <c r="E12" s="868">
        <f>SUM(D12)</f>
        <v>1591</v>
      </c>
      <c r="F12" s="869"/>
      <c r="G12" s="869"/>
      <c r="H12" s="869"/>
      <c r="I12" s="869"/>
      <c r="J12" s="869"/>
      <c r="K12" s="869"/>
      <c r="L12" s="869"/>
    </row>
    <row r="13" spans="2:12" ht="12.75">
      <c r="B13" s="1330" t="s">
        <v>535</v>
      </c>
      <c r="C13" s="866" t="s">
        <v>532</v>
      </c>
      <c r="D13" s="867">
        <v>48000</v>
      </c>
      <c r="E13" s="868">
        <f t="shared" si="0"/>
        <v>48000</v>
      </c>
      <c r="F13" s="869"/>
      <c r="G13" s="869"/>
      <c r="H13" s="869"/>
      <c r="I13" s="869"/>
      <c r="J13" s="869"/>
      <c r="K13" s="869"/>
      <c r="L13" s="869"/>
    </row>
    <row r="14" spans="2:12" ht="12.75">
      <c r="B14" s="1331"/>
      <c r="C14" s="866" t="s">
        <v>533</v>
      </c>
      <c r="D14" s="867">
        <v>1331</v>
      </c>
      <c r="E14" s="868">
        <f>SUM(D14)</f>
        <v>1331</v>
      </c>
      <c r="F14" s="869"/>
      <c r="G14" s="869"/>
      <c r="H14" s="869"/>
      <c r="I14" s="869"/>
      <c r="J14" s="869"/>
      <c r="K14" s="869"/>
      <c r="L14" s="869"/>
    </row>
    <row r="15" spans="2:12" ht="12.75">
      <c r="B15" s="1341" t="s">
        <v>536</v>
      </c>
      <c r="C15" s="866" t="s">
        <v>532</v>
      </c>
      <c r="D15" s="867">
        <v>48000</v>
      </c>
      <c r="E15" s="868">
        <f t="shared" si="0"/>
        <v>48000</v>
      </c>
      <c r="F15" s="869"/>
      <c r="G15" s="869"/>
      <c r="H15" s="869"/>
      <c r="I15" s="869"/>
      <c r="J15" s="869"/>
      <c r="K15" s="869"/>
      <c r="L15" s="869"/>
    </row>
    <row r="16" spans="2:12" ht="12.75">
      <c r="B16" s="1341"/>
      <c r="C16" s="866" t="s">
        <v>533</v>
      </c>
      <c r="D16" s="867">
        <v>1075</v>
      </c>
      <c r="E16" s="868">
        <f>SUM(D16)</f>
        <v>1075</v>
      </c>
      <c r="F16" s="869"/>
      <c r="G16" s="869"/>
      <c r="H16" s="869"/>
      <c r="I16" s="869"/>
      <c r="J16" s="869"/>
      <c r="K16" s="869"/>
      <c r="L16" s="869"/>
    </row>
    <row r="17" spans="2:12" ht="12.75">
      <c r="B17" s="1330" t="s">
        <v>537</v>
      </c>
      <c r="C17" s="866" t="s">
        <v>532</v>
      </c>
      <c r="D17" s="867">
        <v>48000</v>
      </c>
      <c r="E17" s="868">
        <f t="shared" si="0"/>
        <v>48000</v>
      </c>
      <c r="F17" s="869"/>
      <c r="G17" s="869"/>
      <c r="H17" s="869"/>
      <c r="I17" s="869"/>
      <c r="J17" s="869"/>
      <c r="K17" s="869"/>
      <c r="L17" s="869"/>
    </row>
    <row r="18" spans="2:12" ht="12.75">
      <c r="B18" s="1331"/>
      <c r="C18" s="866" t="s">
        <v>533</v>
      </c>
      <c r="D18" s="867">
        <v>812</v>
      </c>
      <c r="E18" s="868">
        <f>SUM(D18)</f>
        <v>812</v>
      </c>
      <c r="F18" s="869"/>
      <c r="G18" s="869"/>
      <c r="H18" s="869"/>
      <c r="I18" s="869"/>
      <c r="J18" s="869"/>
      <c r="K18" s="869"/>
      <c r="L18" s="869"/>
    </row>
    <row r="19" spans="2:12" ht="12.75">
      <c r="B19" s="1341" t="s">
        <v>538</v>
      </c>
      <c r="C19" s="866" t="s">
        <v>532</v>
      </c>
      <c r="D19" s="867">
        <v>48000</v>
      </c>
      <c r="E19" s="868">
        <f t="shared" si="0"/>
        <v>48000</v>
      </c>
      <c r="F19" s="869"/>
      <c r="G19" s="869"/>
      <c r="H19" s="869"/>
      <c r="I19" s="869"/>
      <c r="J19" s="869"/>
      <c r="K19" s="869"/>
      <c r="L19" s="869"/>
    </row>
    <row r="20" spans="2:12" ht="12.75">
      <c r="B20" s="1341"/>
      <c r="C20" s="866" t="s">
        <v>533</v>
      </c>
      <c r="D20" s="867">
        <v>552</v>
      </c>
      <c r="E20" s="868">
        <f>SUM(D20)</f>
        <v>552</v>
      </c>
      <c r="F20" s="869"/>
      <c r="G20" s="869"/>
      <c r="H20" s="869"/>
      <c r="I20" s="869"/>
      <c r="J20" s="869"/>
      <c r="K20" s="869"/>
      <c r="L20" s="869"/>
    </row>
    <row r="21" spans="2:12" ht="12.75">
      <c r="B21" s="1330" t="s">
        <v>539</v>
      </c>
      <c r="C21" s="866" t="s">
        <v>532</v>
      </c>
      <c r="D21" s="867">
        <v>48000</v>
      </c>
      <c r="E21" s="868">
        <f t="shared" si="0"/>
        <v>48000</v>
      </c>
      <c r="F21" s="869"/>
      <c r="G21" s="869"/>
      <c r="H21" s="869"/>
      <c r="I21" s="869"/>
      <c r="J21" s="869"/>
      <c r="K21" s="869"/>
      <c r="L21" s="869"/>
    </row>
    <row r="22" spans="2:12" ht="12.75">
      <c r="B22" s="1331"/>
      <c r="C22" s="866" t="s">
        <v>533</v>
      </c>
      <c r="D22" s="867">
        <v>292</v>
      </c>
      <c r="E22" s="868">
        <f>SUM(D22)</f>
        <v>292</v>
      </c>
      <c r="F22" s="869"/>
      <c r="G22" s="869"/>
      <c r="H22" s="869"/>
      <c r="I22" s="869"/>
      <c r="J22" s="869"/>
      <c r="K22" s="869"/>
      <c r="L22" s="869"/>
    </row>
    <row r="23" spans="2:12" ht="12.75">
      <c r="B23" s="1330" t="s">
        <v>540</v>
      </c>
      <c r="C23" s="866" t="s">
        <v>532</v>
      </c>
      <c r="D23" s="867">
        <v>12000</v>
      </c>
      <c r="E23" s="868">
        <f t="shared" si="0"/>
        <v>12000</v>
      </c>
      <c r="F23" s="869"/>
      <c r="G23" s="869"/>
      <c r="H23" s="869"/>
      <c r="I23" s="869"/>
      <c r="J23" s="869"/>
      <c r="K23" s="869"/>
      <c r="L23" s="869"/>
    </row>
    <row r="24" spans="2:12" ht="12.75">
      <c r="B24" s="1331"/>
      <c r="C24" s="866" t="s">
        <v>533</v>
      </c>
      <c r="D24" s="867">
        <v>32</v>
      </c>
      <c r="E24" s="868">
        <f>SUM(D24)</f>
        <v>32</v>
      </c>
      <c r="F24" s="869"/>
      <c r="G24" s="869"/>
      <c r="H24" s="869"/>
      <c r="I24" s="869"/>
      <c r="J24" s="869"/>
      <c r="K24" s="869"/>
      <c r="L24" s="869"/>
    </row>
    <row r="25" spans="2:12" ht="12.75">
      <c r="B25" s="870"/>
      <c r="C25" s="870"/>
      <c r="D25" s="869"/>
      <c r="E25" s="869"/>
      <c r="F25" s="869"/>
      <c r="G25" s="869"/>
      <c r="H25" s="869"/>
      <c r="I25" s="869"/>
      <c r="J25" s="869"/>
      <c r="K25" s="869"/>
      <c r="L25" s="869"/>
    </row>
    <row r="26" spans="2:12" ht="12.75">
      <c r="B26" s="871" t="s">
        <v>541</v>
      </c>
      <c r="E26" s="865"/>
      <c r="F26" s="864"/>
      <c r="G26" s="872"/>
      <c r="H26" s="873"/>
      <c r="I26" s="873"/>
      <c r="J26" s="873"/>
      <c r="K26" s="873"/>
      <c r="L26" s="873"/>
    </row>
    <row r="27" spans="2:12" ht="12.75">
      <c r="B27" s="871"/>
      <c r="E27" s="888" t="s">
        <v>385</v>
      </c>
      <c r="F27" s="884"/>
      <c r="G27" s="872"/>
      <c r="H27" s="873"/>
      <c r="I27" s="873"/>
      <c r="J27" s="873"/>
      <c r="K27" s="873"/>
      <c r="L27" s="873"/>
    </row>
    <row r="28" spans="2:8" ht="12.75">
      <c r="B28" s="1335" t="s">
        <v>542</v>
      </c>
      <c r="C28" s="1336"/>
      <c r="D28" s="875" t="s">
        <v>1101</v>
      </c>
      <c r="E28" s="876" t="s">
        <v>535</v>
      </c>
      <c r="F28" s="877"/>
      <c r="G28" s="878"/>
      <c r="H28" s="878"/>
    </row>
    <row r="29" spans="2:8" ht="12.75">
      <c r="B29" s="879" t="s">
        <v>543</v>
      </c>
      <c r="C29" s="880"/>
      <c r="D29" s="867">
        <v>18122</v>
      </c>
      <c r="E29" s="881">
        <v>18122</v>
      </c>
      <c r="F29" s="882"/>
      <c r="G29" s="869"/>
      <c r="H29" s="869"/>
    </row>
    <row r="30" spans="2:8" ht="12.75">
      <c r="B30" s="883"/>
      <c r="C30" s="883"/>
      <c r="D30" s="869"/>
      <c r="E30" s="869"/>
      <c r="F30" s="869"/>
      <c r="G30" s="869"/>
      <c r="H30" s="869"/>
    </row>
    <row r="31" spans="2:8" ht="12.75">
      <c r="B31" s="871" t="s">
        <v>544</v>
      </c>
      <c r="D31" s="863"/>
      <c r="E31" s="864" t="s">
        <v>385</v>
      </c>
      <c r="F31" s="884"/>
      <c r="G31" s="869"/>
      <c r="H31" s="869"/>
    </row>
    <row r="32" spans="2:8" ht="12.75">
      <c r="B32" s="1335" t="s">
        <v>542</v>
      </c>
      <c r="C32" s="1336"/>
      <c r="D32" s="885" t="s">
        <v>534</v>
      </c>
      <c r="E32" s="875" t="s">
        <v>535</v>
      </c>
      <c r="F32" s="877"/>
      <c r="G32" s="869"/>
      <c r="H32" s="869"/>
    </row>
    <row r="33" spans="2:8" ht="12.75">
      <c r="B33" s="879" t="s">
        <v>1100</v>
      </c>
      <c r="C33" s="880"/>
      <c r="D33" s="867">
        <v>675000</v>
      </c>
      <c r="E33" s="867">
        <v>500000</v>
      </c>
      <c r="F33" s="882"/>
      <c r="G33" s="869"/>
      <c r="H33" s="869"/>
    </row>
    <row r="34" spans="2:8" ht="12.75">
      <c r="B34" s="883"/>
      <c r="C34" s="883"/>
      <c r="D34" s="869"/>
      <c r="E34" s="869"/>
      <c r="F34" s="869"/>
      <c r="G34" s="886"/>
      <c r="H34" s="886"/>
    </row>
    <row r="35" spans="2:9" ht="13.5" customHeight="1">
      <c r="B35" s="887" t="s">
        <v>545</v>
      </c>
      <c r="C35" s="863"/>
      <c r="D35" s="863"/>
      <c r="E35" s="863"/>
      <c r="F35" s="863"/>
      <c r="G35" s="863"/>
      <c r="H35" s="888"/>
      <c r="I35" s="888" t="s">
        <v>385</v>
      </c>
    </row>
    <row r="36" spans="2:9" ht="12.75">
      <c r="B36" s="1335" t="s">
        <v>171</v>
      </c>
      <c r="C36" s="1336"/>
      <c r="D36" s="889" t="s">
        <v>534</v>
      </c>
      <c r="E36" s="889" t="s">
        <v>535</v>
      </c>
      <c r="F36" s="889" t="s">
        <v>536</v>
      </c>
      <c r="G36" s="875" t="s">
        <v>537</v>
      </c>
      <c r="H36" s="875" t="s">
        <v>538</v>
      </c>
      <c r="I36" s="875" t="s">
        <v>539</v>
      </c>
    </row>
    <row r="37" spans="2:9" ht="12.75">
      <c r="B37" s="879" t="s">
        <v>546</v>
      </c>
      <c r="C37" s="874"/>
      <c r="D37" s="890">
        <v>4001</v>
      </c>
      <c r="E37" s="890">
        <v>5030</v>
      </c>
      <c r="F37" s="890">
        <v>5030</v>
      </c>
      <c r="G37" s="891"/>
      <c r="H37" s="891"/>
      <c r="I37" s="891"/>
    </row>
    <row r="38" spans="2:9" ht="12.75">
      <c r="B38" s="879" t="s">
        <v>547</v>
      </c>
      <c r="C38" s="874"/>
      <c r="D38" s="890">
        <v>236</v>
      </c>
      <c r="E38" s="890">
        <v>40</v>
      </c>
      <c r="F38" s="890"/>
      <c r="G38" s="891"/>
      <c r="H38" s="891"/>
      <c r="I38" s="891"/>
    </row>
    <row r="39" spans="2:9" ht="12.75">
      <c r="B39" s="879" t="s">
        <v>548</v>
      </c>
      <c r="C39" s="874"/>
      <c r="D39" s="890">
        <v>356</v>
      </c>
      <c r="E39" s="890">
        <v>711</v>
      </c>
      <c r="F39" s="890"/>
      <c r="G39" s="891"/>
      <c r="H39" s="891"/>
      <c r="I39" s="891"/>
    </row>
    <row r="40" spans="2:9" ht="12.75">
      <c r="B40" s="879" t="s">
        <v>549</v>
      </c>
      <c r="C40" s="874"/>
      <c r="D40" s="890">
        <v>347</v>
      </c>
      <c r="E40" s="890">
        <v>266</v>
      </c>
      <c r="F40" s="890"/>
      <c r="G40" s="891"/>
      <c r="H40" s="891"/>
      <c r="I40" s="891"/>
    </row>
    <row r="41" spans="2:9" ht="12.75">
      <c r="B41" s="879" t="s">
        <v>550</v>
      </c>
      <c r="C41" s="874"/>
      <c r="D41" s="890">
        <v>750</v>
      </c>
      <c r="E41" s="892">
        <v>375</v>
      </c>
      <c r="F41" s="890"/>
      <c r="G41" s="891"/>
      <c r="H41" s="891"/>
      <c r="I41" s="891"/>
    </row>
    <row r="42" spans="2:9" ht="12.75">
      <c r="B42" s="879" t="s">
        <v>551</v>
      </c>
      <c r="C42" s="874"/>
      <c r="D42" s="890">
        <v>1620</v>
      </c>
      <c r="E42" s="892">
        <v>1620</v>
      </c>
      <c r="F42" s="890"/>
      <c r="G42" s="891"/>
      <c r="H42" s="891"/>
      <c r="I42" s="891"/>
    </row>
    <row r="43" spans="2:9" ht="12.75">
      <c r="B43" s="879" t="s">
        <v>552</v>
      </c>
      <c r="C43" s="874"/>
      <c r="D43" s="890">
        <v>119</v>
      </c>
      <c r="E43" s="892">
        <v>33</v>
      </c>
      <c r="F43" s="890"/>
      <c r="G43" s="891"/>
      <c r="H43" s="891"/>
      <c r="I43" s="891"/>
    </row>
    <row r="44" spans="2:9" ht="12.75">
      <c r="B44" s="879" t="s">
        <v>553</v>
      </c>
      <c r="C44" s="874"/>
      <c r="D44" s="890">
        <v>1241</v>
      </c>
      <c r="E44" s="892">
        <v>170</v>
      </c>
      <c r="F44" s="890"/>
      <c r="G44" s="891"/>
      <c r="H44" s="891"/>
      <c r="I44" s="891"/>
    </row>
    <row r="45" spans="2:9" ht="12.75">
      <c r="B45" s="879" t="s">
        <v>554</v>
      </c>
      <c r="C45" s="874"/>
      <c r="D45" s="890">
        <v>6838</v>
      </c>
      <c r="E45" s="892">
        <v>2441</v>
      </c>
      <c r="F45" s="890"/>
      <c r="G45" s="891"/>
      <c r="H45" s="891"/>
      <c r="I45" s="891"/>
    </row>
    <row r="46" spans="2:9" ht="12.75">
      <c r="B46" s="879" t="s">
        <v>555</v>
      </c>
      <c r="C46" s="874"/>
      <c r="D46" s="890">
        <v>5080</v>
      </c>
      <c r="E46" s="892">
        <v>1016</v>
      </c>
      <c r="F46" s="890"/>
      <c r="G46" s="891"/>
      <c r="H46" s="891"/>
      <c r="I46" s="891"/>
    </row>
    <row r="47" spans="2:9" ht="12.75">
      <c r="B47" s="879" t="s">
        <v>556</v>
      </c>
      <c r="C47" s="874"/>
      <c r="D47" s="890">
        <v>1957</v>
      </c>
      <c r="E47" s="892">
        <v>3913</v>
      </c>
      <c r="F47" s="890"/>
      <c r="G47" s="891"/>
      <c r="H47" s="891"/>
      <c r="I47" s="891"/>
    </row>
    <row r="48" spans="2:9" ht="12.75">
      <c r="B48" s="879" t="s">
        <v>557</v>
      </c>
      <c r="C48" s="874"/>
      <c r="D48" s="890"/>
      <c r="E48" s="892">
        <v>3000</v>
      </c>
      <c r="F48" s="890"/>
      <c r="G48" s="891"/>
      <c r="H48" s="891"/>
      <c r="I48" s="891"/>
    </row>
    <row r="49" spans="2:9" ht="12.75">
      <c r="B49" s="879" t="s">
        <v>558</v>
      </c>
      <c r="C49" s="874"/>
      <c r="D49" s="890">
        <v>4763</v>
      </c>
      <c r="E49" s="892">
        <v>4763</v>
      </c>
      <c r="F49" s="890"/>
      <c r="G49" s="891"/>
      <c r="H49" s="891"/>
      <c r="I49" s="891"/>
    </row>
    <row r="50" spans="2:9" ht="12.75">
      <c r="B50" s="879" t="s">
        <v>559</v>
      </c>
      <c r="C50" s="874"/>
      <c r="D50" s="890">
        <v>969</v>
      </c>
      <c r="E50" s="892">
        <v>692</v>
      </c>
      <c r="F50" s="890"/>
      <c r="G50" s="891"/>
      <c r="H50" s="891"/>
      <c r="I50" s="891"/>
    </row>
    <row r="51" spans="2:9" ht="12.75">
      <c r="B51" s="879" t="s">
        <v>560</v>
      </c>
      <c r="C51" s="874"/>
      <c r="D51" s="890">
        <v>1567</v>
      </c>
      <c r="E51" s="892">
        <v>1061</v>
      </c>
      <c r="F51" s="890"/>
      <c r="G51" s="891"/>
      <c r="H51" s="891"/>
      <c r="I51" s="891"/>
    </row>
    <row r="52" spans="2:9" ht="12.75">
      <c r="B52" s="879" t="s">
        <v>1115</v>
      </c>
      <c r="C52" s="874"/>
      <c r="D52" s="890">
        <v>502</v>
      </c>
      <c r="E52" s="892">
        <v>610</v>
      </c>
      <c r="F52" s="890"/>
      <c r="G52" s="891"/>
      <c r="H52" s="891"/>
      <c r="I52" s="891"/>
    </row>
    <row r="53" spans="2:9" ht="12.75">
      <c r="B53" s="1179" t="s">
        <v>1213</v>
      </c>
      <c r="C53" s="1190"/>
      <c r="D53" s="899"/>
      <c r="E53" s="1191">
        <v>1870</v>
      </c>
      <c r="F53" s="899"/>
      <c r="G53" s="1189"/>
      <c r="H53" s="891"/>
      <c r="I53" s="891"/>
    </row>
    <row r="54" spans="2:9" ht="12.75">
      <c r="B54" s="1179" t="s">
        <v>1214</v>
      </c>
      <c r="C54" s="1190"/>
      <c r="D54" s="899"/>
      <c r="E54" s="1191">
        <v>458</v>
      </c>
      <c r="F54" s="899"/>
      <c r="G54" s="1189"/>
      <c r="H54" s="891"/>
      <c r="I54" s="891"/>
    </row>
    <row r="55" spans="2:9" ht="12.75">
      <c r="B55" s="1179" t="s">
        <v>1215</v>
      </c>
      <c r="C55" s="1190"/>
      <c r="D55" s="899"/>
      <c r="E55" s="1191">
        <v>756</v>
      </c>
      <c r="F55" s="899"/>
      <c r="G55" s="1189"/>
      <c r="H55" s="891"/>
      <c r="I55" s="891"/>
    </row>
    <row r="56" spans="2:9" ht="12.75">
      <c r="B56" s="1179" t="s">
        <v>1216</v>
      </c>
      <c r="C56" s="1190"/>
      <c r="D56" s="899"/>
      <c r="E56" s="1191">
        <v>9970</v>
      </c>
      <c r="F56" s="899"/>
      <c r="G56" s="1189"/>
      <c r="H56" s="891"/>
      <c r="I56" s="891"/>
    </row>
    <row r="57" spans="2:9" ht="12.75">
      <c r="B57" s="1179" t="s">
        <v>1217</v>
      </c>
      <c r="C57" s="1190"/>
      <c r="D57" s="899"/>
      <c r="E57" s="1191">
        <v>4064</v>
      </c>
      <c r="F57" s="899"/>
      <c r="G57" s="1189"/>
      <c r="H57" s="891"/>
      <c r="I57" s="891"/>
    </row>
    <row r="58" spans="2:9" ht="12.75">
      <c r="B58" s="1179" t="s">
        <v>1218</v>
      </c>
      <c r="C58" s="1190"/>
      <c r="D58" s="899"/>
      <c r="E58" s="1191">
        <v>877</v>
      </c>
      <c r="F58" s="899"/>
      <c r="G58" s="1189"/>
      <c r="H58" s="891"/>
      <c r="I58" s="891"/>
    </row>
    <row r="59" spans="2:9" ht="12.75">
      <c r="B59" s="1179" t="s">
        <v>1219</v>
      </c>
      <c r="C59" s="1190"/>
      <c r="D59" s="899"/>
      <c r="E59" s="1191">
        <v>207</v>
      </c>
      <c r="F59" s="899"/>
      <c r="G59" s="1189"/>
      <c r="H59" s="891"/>
      <c r="I59" s="891"/>
    </row>
    <row r="60" spans="2:9" ht="12.75">
      <c r="B60" s="1337" t="s">
        <v>561</v>
      </c>
      <c r="C60" s="1338"/>
      <c r="D60" s="895">
        <v>8500</v>
      </c>
      <c r="E60" s="896">
        <v>1417</v>
      </c>
      <c r="F60" s="890"/>
      <c r="G60" s="891"/>
      <c r="H60" s="891"/>
      <c r="I60" s="891"/>
    </row>
    <row r="61" spans="2:9" ht="12.75">
      <c r="B61" s="893" t="s">
        <v>562</v>
      </c>
      <c r="C61" s="894"/>
      <c r="D61" s="895">
        <v>2000</v>
      </c>
      <c r="E61" s="896">
        <v>400</v>
      </c>
      <c r="F61" s="890"/>
      <c r="G61" s="891"/>
      <c r="H61" s="891"/>
      <c r="I61" s="891"/>
    </row>
    <row r="62" spans="2:9" ht="12.75">
      <c r="B62" s="893" t="s">
        <v>563</v>
      </c>
      <c r="C62" s="894"/>
      <c r="D62" s="895">
        <v>1990</v>
      </c>
      <c r="E62" s="896">
        <v>995</v>
      </c>
      <c r="F62" s="890"/>
      <c r="G62" s="891"/>
      <c r="H62" s="891"/>
      <c r="I62" s="891"/>
    </row>
    <row r="63" spans="2:9" ht="12.75">
      <c r="B63" s="1337" t="s">
        <v>564</v>
      </c>
      <c r="C63" s="1338"/>
      <c r="D63" s="897">
        <v>8800</v>
      </c>
      <c r="E63" s="898">
        <v>8800</v>
      </c>
      <c r="F63" s="899"/>
      <c r="G63" s="891"/>
      <c r="H63" s="891"/>
      <c r="I63" s="890"/>
    </row>
    <row r="64" spans="2:9" ht="12.75">
      <c r="B64" s="893" t="s">
        <v>565</v>
      </c>
      <c r="C64" s="894"/>
      <c r="D64" s="895">
        <v>2250</v>
      </c>
      <c r="E64" s="896">
        <v>2250</v>
      </c>
      <c r="F64" s="890"/>
      <c r="G64" s="891"/>
      <c r="H64" s="891"/>
      <c r="I64" s="1165"/>
    </row>
    <row r="65" spans="2:9" ht="12.75">
      <c r="B65" s="893" t="s">
        <v>566</v>
      </c>
      <c r="C65" s="894"/>
      <c r="D65" s="895">
        <v>3214</v>
      </c>
      <c r="E65" s="896">
        <v>2143</v>
      </c>
      <c r="F65" s="890"/>
      <c r="G65" s="891"/>
      <c r="H65" s="891"/>
      <c r="I65" s="1165"/>
    </row>
    <row r="66" spans="2:9" ht="12.75">
      <c r="B66" s="893" t="s">
        <v>567</v>
      </c>
      <c r="C66" s="894"/>
      <c r="D66" s="897">
        <v>3214</v>
      </c>
      <c r="E66" s="898">
        <v>2143</v>
      </c>
      <c r="F66" s="890"/>
      <c r="G66" s="891"/>
      <c r="H66" s="891"/>
      <c r="I66" s="1165"/>
    </row>
    <row r="67" spans="2:9" ht="12.75">
      <c r="B67" s="893" t="s">
        <v>568</v>
      </c>
      <c r="C67" s="894"/>
      <c r="D67" s="895">
        <v>2760</v>
      </c>
      <c r="E67" s="896">
        <v>1380</v>
      </c>
      <c r="F67" s="890"/>
      <c r="G67" s="891"/>
      <c r="H67" s="891"/>
      <c r="I67" s="1165"/>
    </row>
    <row r="68" spans="2:9" ht="12.75">
      <c r="B68" s="893" t="s">
        <v>1102</v>
      </c>
      <c r="C68" s="894"/>
      <c r="D68" s="897">
        <v>850</v>
      </c>
      <c r="E68" s="898">
        <v>850</v>
      </c>
      <c r="F68" s="890"/>
      <c r="G68" s="891"/>
      <c r="H68" s="891"/>
      <c r="I68" s="1165"/>
    </row>
    <row r="69" spans="2:9" ht="12.75">
      <c r="B69" s="1171" t="s">
        <v>1195</v>
      </c>
      <c r="C69" s="1172"/>
      <c r="D69" s="895"/>
      <c r="E69" s="896">
        <v>7000</v>
      </c>
      <c r="F69" s="890"/>
      <c r="G69" s="891"/>
      <c r="H69" s="891"/>
      <c r="I69" s="1165"/>
    </row>
    <row r="70" spans="2:9" ht="12.75">
      <c r="B70" s="1171" t="s">
        <v>1196</v>
      </c>
      <c r="C70" s="1172"/>
      <c r="D70" s="895"/>
      <c r="E70" s="896">
        <v>40000</v>
      </c>
      <c r="F70" s="890"/>
      <c r="G70" s="891"/>
      <c r="H70" s="891"/>
      <c r="I70" s="1165"/>
    </row>
    <row r="71" spans="2:9" ht="12.75">
      <c r="B71" s="1171" t="s">
        <v>1198</v>
      </c>
      <c r="C71" s="1172"/>
      <c r="D71" s="895"/>
      <c r="E71" s="896">
        <v>12000</v>
      </c>
      <c r="F71" s="890"/>
      <c r="G71" s="891"/>
      <c r="H71" s="891"/>
      <c r="I71" s="1165"/>
    </row>
    <row r="72" spans="2:9" ht="12.75">
      <c r="B72" s="1171" t="s">
        <v>1197</v>
      </c>
      <c r="C72" s="1172"/>
      <c r="D72" s="895"/>
      <c r="E72" s="896">
        <v>8000</v>
      </c>
      <c r="F72" s="899">
        <v>8000</v>
      </c>
      <c r="G72" s="1189">
        <v>4000</v>
      </c>
      <c r="H72" s="891"/>
      <c r="I72" s="1165"/>
    </row>
    <row r="73" spans="2:9" ht="12.75">
      <c r="B73" s="1179" t="s">
        <v>1195</v>
      </c>
      <c r="C73" s="1180"/>
      <c r="D73" s="895"/>
      <c r="E73" s="898">
        <v>9000</v>
      </c>
      <c r="F73" s="899"/>
      <c r="G73" s="1189"/>
      <c r="H73" s="891"/>
      <c r="I73" s="1165"/>
    </row>
    <row r="74" spans="2:9" ht="12.75">
      <c r="B74" s="1171" t="s">
        <v>1199</v>
      </c>
      <c r="C74" s="1172"/>
      <c r="D74" s="895"/>
      <c r="E74" s="896">
        <v>429</v>
      </c>
      <c r="F74" s="890">
        <v>429</v>
      </c>
      <c r="G74" s="891">
        <v>429</v>
      </c>
      <c r="H74" s="891">
        <v>429</v>
      </c>
      <c r="I74" s="1165"/>
    </row>
    <row r="75" spans="2:9" ht="12.75">
      <c r="B75" s="1337" t="s">
        <v>569</v>
      </c>
      <c r="C75" s="1338"/>
      <c r="D75" s="895">
        <v>150000</v>
      </c>
      <c r="E75" s="896">
        <v>50000</v>
      </c>
      <c r="F75" s="890"/>
      <c r="G75" s="891"/>
      <c r="H75" s="891"/>
      <c r="I75" s="1165"/>
    </row>
    <row r="76" spans="2:9" ht="12.75">
      <c r="B76" s="893" t="s">
        <v>570</v>
      </c>
      <c r="C76" s="894"/>
      <c r="D76" s="895">
        <v>2295</v>
      </c>
      <c r="E76" s="896">
        <v>3810</v>
      </c>
      <c r="F76" s="890">
        <v>3810</v>
      </c>
      <c r="G76" s="891">
        <v>3810</v>
      </c>
      <c r="H76" s="891">
        <v>1588</v>
      </c>
      <c r="I76" s="1165"/>
    </row>
    <row r="77" spans="2:9" ht="12.75">
      <c r="B77" s="893" t="s">
        <v>571</v>
      </c>
      <c r="C77" s="894"/>
      <c r="D77" s="895">
        <v>1000</v>
      </c>
      <c r="E77" s="896">
        <v>1000</v>
      </c>
      <c r="F77" s="890"/>
      <c r="G77" s="891"/>
      <c r="H77" s="891"/>
      <c r="I77" s="1165"/>
    </row>
    <row r="78" spans="2:9" ht="12.75">
      <c r="B78" s="893" t="s">
        <v>572</v>
      </c>
      <c r="C78" s="894"/>
      <c r="D78" s="895">
        <v>139282</v>
      </c>
      <c r="E78" s="896">
        <v>139282</v>
      </c>
      <c r="F78" s="890"/>
      <c r="G78" s="890"/>
      <c r="H78" s="890"/>
      <c r="I78" s="1165"/>
    </row>
    <row r="79" spans="2:9" ht="12.75">
      <c r="B79" s="1335" t="s">
        <v>171</v>
      </c>
      <c r="C79" s="1336"/>
      <c r="D79" s="875" t="s">
        <v>534</v>
      </c>
      <c r="E79" s="900" t="s">
        <v>535</v>
      </c>
      <c r="F79" s="875" t="s">
        <v>536</v>
      </c>
      <c r="G79" s="875" t="s">
        <v>537</v>
      </c>
      <c r="H79" s="875" t="s">
        <v>538</v>
      </c>
      <c r="I79" s="875" t="s">
        <v>539</v>
      </c>
    </row>
    <row r="80" spans="2:9" ht="12.75">
      <c r="B80" s="901" t="s">
        <v>573</v>
      </c>
      <c r="C80" s="902"/>
      <c r="D80" s="890">
        <v>3000</v>
      </c>
      <c r="E80" s="890">
        <v>3000</v>
      </c>
      <c r="F80" s="890"/>
      <c r="G80" s="891"/>
      <c r="H80" s="891"/>
      <c r="I80" s="1165"/>
    </row>
    <row r="81" spans="2:9" ht="12.75">
      <c r="B81" s="901" t="s">
        <v>31</v>
      </c>
      <c r="C81" s="902"/>
      <c r="D81" s="890">
        <v>2500</v>
      </c>
      <c r="E81" s="890">
        <v>2500</v>
      </c>
      <c r="F81" s="890"/>
      <c r="G81" s="891"/>
      <c r="H81" s="891"/>
      <c r="I81" s="1165"/>
    </row>
    <row r="82" spans="2:9" ht="12.75">
      <c r="B82" s="879" t="s">
        <v>574</v>
      </c>
      <c r="C82" s="874"/>
      <c r="D82" s="890">
        <v>5000</v>
      </c>
      <c r="E82" s="890">
        <v>5000</v>
      </c>
      <c r="F82" s="890"/>
      <c r="G82" s="891"/>
      <c r="H82" s="891"/>
      <c r="I82" s="1165"/>
    </row>
    <row r="83" spans="2:9" ht="12.75">
      <c r="B83" s="901" t="s">
        <v>575</v>
      </c>
      <c r="C83" s="902"/>
      <c r="D83" s="890">
        <v>5000</v>
      </c>
      <c r="E83" s="890">
        <v>5000</v>
      </c>
      <c r="F83" s="890"/>
      <c r="G83" s="890"/>
      <c r="H83" s="890"/>
      <c r="I83" s="1165"/>
    </row>
    <row r="84" spans="2:9" ht="12.75">
      <c r="B84" s="879" t="s">
        <v>576</v>
      </c>
      <c r="C84" s="874"/>
      <c r="D84" s="890">
        <v>3000</v>
      </c>
      <c r="E84" s="890">
        <v>3000</v>
      </c>
      <c r="F84" s="890"/>
      <c r="G84" s="891"/>
      <c r="H84" s="891"/>
      <c r="I84" s="1165"/>
    </row>
    <row r="85" spans="2:9" ht="12.75">
      <c r="B85" s="901" t="s">
        <v>577</v>
      </c>
      <c r="C85" s="902"/>
      <c r="D85" s="890">
        <v>3000</v>
      </c>
      <c r="E85" s="890">
        <v>3000</v>
      </c>
      <c r="F85" s="890"/>
      <c r="G85" s="891"/>
      <c r="H85" s="891"/>
      <c r="I85" s="1165"/>
    </row>
    <row r="86" spans="2:9" ht="12.75">
      <c r="B86" s="901" t="s">
        <v>578</v>
      </c>
      <c r="C86" s="902"/>
      <c r="D86" s="890">
        <v>1500</v>
      </c>
      <c r="E86" s="890">
        <v>1500</v>
      </c>
      <c r="F86" s="890"/>
      <c r="G86" s="891"/>
      <c r="H86" s="891"/>
      <c r="I86" s="1165"/>
    </row>
    <row r="87" spans="2:9" ht="12.75">
      <c r="B87" s="901" t="s">
        <v>579</v>
      </c>
      <c r="C87" s="902"/>
      <c r="D87" s="890">
        <v>2880</v>
      </c>
      <c r="E87" s="892">
        <v>2880</v>
      </c>
      <c r="F87" s="890"/>
      <c r="G87" s="891"/>
      <c r="H87" s="891"/>
      <c r="I87" s="1165"/>
    </row>
    <row r="88" spans="2:9" ht="12.75">
      <c r="B88" s="901" t="s">
        <v>580</v>
      </c>
      <c r="C88" s="902"/>
      <c r="D88" s="890">
        <v>1440</v>
      </c>
      <c r="E88" s="892">
        <v>1440</v>
      </c>
      <c r="F88" s="890"/>
      <c r="G88" s="891"/>
      <c r="H88" s="891"/>
      <c r="I88" s="1165"/>
    </row>
    <row r="89" spans="2:9" ht="12.75">
      <c r="B89" s="879" t="s">
        <v>581</v>
      </c>
      <c r="C89" s="874"/>
      <c r="D89" s="890">
        <v>34671</v>
      </c>
      <c r="E89" s="892">
        <v>34671</v>
      </c>
      <c r="F89" s="890"/>
      <c r="G89" s="890"/>
      <c r="H89" s="890"/>
      <c r="I89" s="1165"/>
    </row>
    <row r="90" spans="2:9" ht="12.75">
      <c r="B90" s="901" t="s">
        <v>582</v>
      </c>
      <c r="C90" s="902"/>
      <c r="D90" s="890">
        <v>997661</v>
      </c>
      <c r="E90" s="892">
        <v>997661</v>
      </c>
      <c r="F90" s="890"/>
      <c r="G90" s="890"/>
      <c r="H90" s="890"/>
      <c r="I90" s="1165"/>
    </row>
    <row r="91" spans="2:9" ht="12.75">
      <c r="B91" s="901" t="s">
        <v>583</v>
      </c>
      <c r="C91" s="902"/>
      <c r="D91" s="890">
        <v>304083</v>
      </c>
      <c r="E91" s="892">
        <v>279083</v>
      </c>
      <c r="F91" s="890"/>
      <c r="G91" s="890"/>
      <c r="H91" s="891"/>
      <c r="I91" s="1165"/>
    </row>
    <row r="92" spans="2:9" ht="12.75">
      <c r="B92" s="901" t="s">
        <v>584</v>
      </c>
      <c r="C92" s="902"/>
      <c r="D92" s="890">
        <v>435766</v>
      </c>
      <c r="E92" s="892">
        <v>407766</v>
      </c>
      <c r="F92" s="890"/>
      <c r="G92" s="890"/>
      <c r="H92" s="890"/>
      <c r="I92" s="1165"/>
    </row>
    <row r="93" spans="2:9" ht="12.75">
      <c r="B93" s="893" t="s">
        <v>585</v>
      </c>
      <c r="C93" s="894"/>
      <c r="D93" s="895">
        <v>694</v>
      </c>
      <c r="E93" s="896">
        <v>694</v>
      </c>
      <c r="F93" s="895">
        <v>694</v>
      </c>
      <c r="G93" s="867">
        <v>694</v>
      </c>
      <c r="H93" s="867"/>
      <c r="I93" s="1165"/>
    </row>
    <row r="94" spans="2:9" ht="12.75">
      <c r="B94" s="1173" t="s">
        <v>1201</v>
      </c>
      <c r="C94" s="1174"/>
      <c r="D94" s="895"/>
      <c r="E94" s="896">
        <v>300</v>
      </c>
      <c r="F94" s="895">
        <v>300</v>
      </c>
      <c r="G94" s="867">
        <v>300</v>
      </c>
      <c r="H94" s="867">
        <v>300</v>
      </c>
      <c r="I94" s="1177">
        <v>300</v>
      </c>
    </row>
    <row r="95" spans="2:9" ht="12.75">
      <c r="B95" s="1175" t="s">
        <v>1202</v>
      </c>
      <c r="C95" s="1176"/>
      <c r="D95" s="895"/>
      <c r="E95" s="896">
        <v>108</v>
      </c>
      <c r="F95" s="895">
        <v>108</v>
      </c>
      <c r="G95" s="867">
        <v>108</v>
      </c>
      <c r="H95" s="867">
        <v>108</v>
      </c>
      <c r="I95" s="1177">
        <v>108</v>
      </c>
    </row>
    <row r="96" spans="2:9" ht="12.75">
      <c r="B96" s="893" t="s">
        <v>586</v>
      </c>
      <c r="C96" s="894"/>
      <c r="D96" s="895">
        <v>28391</v>
      </c>
      <c r="E96" s="896">
        <v>6614</v>
      </c>
      <c r="F96" s="895"/>
      <c r="G96" s="895"/>
      <c r="H96" s="895"/>
      <c r="I96" s="1165"/>
    </row>
    <row r="97" spans="2:9" ht="12.75">
      <c r="B97" s="1141" t="s">
        <v>586</v>
      </c>
      <c r="C97" s="1142"/>
      <c r="D97" s="895"/>
      <c r="E97" s="896">
        <v>28597</v>
      </c>
      <c r="F97" s="895">
        <v>5720</v>
      </c>
      <c r="G97" s="895"/>
      <c r="H97" s="895"/>
      <c r="I97" s="1165"/>
    </row>
    <row r="98" spans="2:9" ht="12.75">
      <c r="B98" s="1141" t="s">
        <v>1157</v>
      </c>
      <c r="C98" s="1142"/>
      <c r="D98" s="895"/>
      <c r="E98" s="898">
        <v>10500</v>
      </c>
      <c r="F98" s="895"/>
      <c r="G98" s="895"/>
      <c r="H98" s="895"/>
      <c r="I98" s="1165"/>
    </row>
    <row r="99" spans="2:9" ht="12.75">
      <c r="B99" s="893" t="s">
        <v>587</v>
      </c>
      <c r="C99" s="894"/>
      <c r="D99" s="895">
        <v>7000</v>
      </c>
      <c r="E99" s="896">
        <v>2333</v>
      </c>
      <c r="F99" s="895"/>
      <c r="G99" s="895"/>
      <c r="H99" s="895"/>
      <c r="I99" s="1165"/>
    </row>
    <row r="100" spans="2:9" ht="12.75">
      <c r="B100" s="1337" t="s">
        <v>149</v>
      </c>
      <c r="C100" s="1338"/>
      <c r="D100" s="895">
        <v>10000</v>
      </c>
      <c r="E100" s="896">
        <v>8000</v>
      </c>
      <c r="F100" s="895">
        <v>5698</v>
      </c>
      <c r="G100" s="867"/>
      <c r="H100" s="867"/>
      <c r="I100" s="1165"/>
    </row>
    <row r="101" spans="2:9" ht="12.75">
      <c r="B101" s="1337" t="s">
        <v>588</v>
      </c>
      <c r="C101" s="1338"/>
      <c r="D101" s="895">
        <v>3000</v>
      </c>
      <c r="E101" s="896">
        <v>3000</v>
      </c>
      <c r="F101" s="895"/>
      <c r="G101" s="867"/>
      <c r="H101" s="867"/>
      <c r="I101" s="1165"/>
    </row>
    <row r="102" spans="2:9" ht="12.75">
      <c r="B102" s="893" t="s">
        <v>589</v>
      </c>
      <c r="C102" s="894"/>
      <c r="D102" s="895">
        <v>7264</v>
      </c>
      <c r="E102" s="896">
        <v>3836</v>
      </c>
      <c r="F102" s="895"/>
      <c r="G102" s="867"/>
      <c r="H102" s="867"/>
      <c r="I102" s="1165"/>
    </row>
    <row r="103" spans="2:9" ht="12.75">
      <c r="B103" s="1155" t="s">
        <v>1181</v>
      </c>
      <c r="C103" s="1156"/>
      <c r="D103" s="895">
        <v>4500</v>
      </c>
      <c r="E103" s="896">
        <v>4500</v>
      </c>
      <c r="F103" s="895">
        <v>4500</v>
      </c>
      <c r="G103" s="867">
        <v>4500</v>
      </c>
      <c r="H103" s="867"/>
      <c r="I103" s="1165"/>
    </row>
    <row r="104" spans="2:9" ht="12.75">
      <c r="B104" s="1155" t="s">
        <v>1182</v>
      </c>
      <c r="C104" s="1156"/>
      <c r="D104" s="895">
        <v>2500</v>
      </c>
      <c r="E104" s="896">
        <v>2500</v>
      </c>
      <c r="F104" s="895">
        <v>2500</v>
      </c>
      <c r="G104" s="867">
        <v>2500</v>
      </c>
      <c r="H104" s="867"/>
      <c r="I104" s="1165"/>
    </row>
    <row r="105" spans="2:9" ht="12.75">
      <c r="B105" s="1155" t="s">
        <v>1183</v>
      </c>
      <c r="C105" s="1156"/>
      <c r="D105" s="895">
        <v>5000</v>
      </c>
      <c r="E105" s="896">
        <v>5000</v>
      </c>
      <c r="F105" s="895">
        <v>5000</v>
      </c>
      <c r="G105" s="867">
        <v>5000</v>
      </c>
      <c r="H105" s="867"/>
      <c r="I105" s="1165"/>
    </row>
    <row r="106" spans="2:9" ht="12.75">
      <c r="B106" s="1155" t="s">
        <v>1184</v>
      </c>
      <c r="C106" s="1156"/>
      <c r="D106" s="895">
        <v>4000</v>
      </c>
      <c r="E106" s="896">
        <v>4000</v>
      </c>
      <c r="F106" s="895">
        <v>4000</v>
      </c>
      <c r="G106" s="867">
        <v>4000</v>
      </c>
      <c r="H106" s="867"/>
      <c r="I106" s="1165"/>
    </row>
    <row r="107" spans="2:9" ht="12.75">
      <c r="B107" s="1155" t="s">
        <v>1185</v>
      </c>
      <c r="C107" s="1156"/>
      <c r="D107" s="895">
        <v>2000</v>
      </c>
      <c r="E107" s="896">
        <v>2000</v>
      </c>
      <c r="F107" s="895">
        <v>2000</v>
      </c>
      <c r="G107" s="867">
        <v>2000</v>
      </c>
      <c r="H107" s="867"/>
      <c r="I107" s="1165"/>
    </row>
    <row r="108" spans="2:9" ht="12.75">
      <c r="B108" s="1155" t="s">
        <v>1186</v>
      </c>
      <c r="C108" s="1156"/>
      <c r="D108" s="895">
        <v>2000</v>
      </c>
      <c r="E108" s="896">
        <v>2000</v>
      </c>
      <c r="F108" s="895">
        <v>2000</v>
      </c>
      <c r="G108" s="867">
        <v>2000</v>
      </c>
      <c r="H108" s="867"/>
      <c r="I108" s="1165"/>
    </row>
    <row r="109" spans="2:9" ht="12.75">
      <c r="B109" s="1147" t="s">
        <v>1172</v>
      </c>
      <c r="C109" s="1148"/>
      <c r="D109" s="895">
        <v>20000</v>
      </c>
      <c r="E109" s="896">
        <v>100000</v>
      </c>
      <c r="F109" s="895">
        <v>100000</v>
      </c>
      <c r="G109" s="867"/>
      <c r="H109" s="867"/>
      <c r="I109" s="1165"/>
    </row>
    <row r="110" spans="2:9" ht="12.75">
      <c r="B110" s="1147" t="s">
        <v>1177</v>
      </c>
      <c r="C110" s="1148"/>
      <c r="D110" s="895"/>
      <c r="E110" s="896">
        <v>3000</v>
      </c>
      <c r="F110" s="895">
        <v>3000</v>
      </c>
      <c r="G110" s="867">
        <v>3000</v>
      </c>
      <c r="H110" s="867">
        <v>3000</v>
      </c>
      <c r="I110" s="867">
        <v>3000</v>
      </c>
    </row>
    <row r="111" spans="2:9" ht="12.75">
      <c r="B111" s="1193" t="s">
        <v>1223</v>
      </c>
      <c r="C111" s="1194"/>
      <c r="D111" s="895"/>
      <c r="E111" s="896">
        <v>397516</v>
      </c>
      <c r="F111" s="895"/>
      <c r="G111" s="867"/>
      <c r="H111" s="867"/>
      <c r="I111" s="867"/>
    </row>
    <row r="112" spans="2:9" ht="12.75">
      <c r="B112" s="1147" t="s">
        <v>1173</v>
      </c>
      <c r="C112" s="1148"/>
      <c r="D112" s="895">
        <v>8300</v>
      </c>
      <c r="E112" s="896">
        <v>11000</v>
      </c>
      <c r="F112" s="895"/>
      <c r="G112" s="867"/>
      <c r="H112" s="867"/>
      <c r="I112" s="1165"/>
    </row>
    <row r="113" spans="2:9" ht="12.75" customHeight="1">
      <c r="B113" s="1339" t="s">
        <v>1174</v>
      </c>
      <c r="C113" s="1340"/>
      <c r="D113" s="895"/>
      <c r="E113" s="896">
        <v>4560</v>
      </c>
      <c r="F113" s="895">
        <v>4560</v>
      </c>
      <c r="G113" s="867">
        <v>4560</v>
      </c>
      <c r="H113" s="867"/>
      <c r="I113" s="1165"/>
    </row>
    <row r="114" spans="2:9" ht="12.75">
      <c r="B114" s="1337" t="s">
        <v>590</v>
      </c>
      <c r="C114" s="1338"/>
      <c r="D114" s="895">
        <v>549395</v>
      </c>
      <c r="E114" s="896">
        <v>559687</v>
      </c>
      <c r="F114" s="895">
        <v>559687</v>
      </c>
      <c r="G114" s="867">
        <v>335812</v>
      </c>
      <c r="H114" s="867"/>
      <c r="I114" s="1165"/>
    </row>
    <row r="115" spans="2:9" ht="12.75">
      <c r="B115" s="1171" t="s">
        <v>1200</v>
      </c>
      <c r="C115" s="1172"/>
      <c r="D115" s="895"/>
      <c r="E115" s="896">
        <v>85717</v>
      </c>
      <c r="F115" s="895"/>
      <c r="G115" s="867"/>
      <c r="H115" s="867"/>
      <c r="I115" s="1165"/>
    </row>
    <row r="116" spans="2:9" ht="12.75">
      <c r="B116" s="1337" t="s">
        <v>1194</v>
      </c>
      <c r="C116" s="1338"/>
      <c r="D116" s="895">
        <v>13655</v>
      </c>
      <c r="E116" s="896">
        <v>16393</v>
      </c>
      <c r="F116" s="895"/>
      <c r="G116" s="867"/>
      <c r="H116" s="867"/>
      <c r="I116" s="1165"/>
    </row>
  </sheetData>
  <sheetProtection/>
  <mergeCells count="33">
    <mergeCell ref="B2:L2"/>
    <mergeCell ref="B4:L4"/>
    <mergeCell ref="B6:F6"/>
    <mergeCell ref="B8:B10"/>
    <mergeCell ref="C8:C10"/>
    <mergeCell ref="B19:B20"/>
    <mergeCell ref="K8:K10"/>
    <mergeCell ref="B13:B14"/>
    <mergeCell ref="B15:B16"/>
    <mergeCell ref="L8:L10"/>
    <mergeCell ref="B116:C116"/>
    <mergeCell ref="J8:J10"/>
    <mergeCell ref="G8:G10"/>
    <mergeCell ref="B75:C75"/>
    <mergeCell ref="B17:B18"/>
    <mergeCell ref="B11:B12"/>
    <mergeCell ref="H8:H10"/>
    <mergeCell ref="B114:C114"/>
    <mergeCell ref="B28:C28"/>
    <mergeCell ref="B32:C32"/>
    <mergeCell ref="B36:C36"/>
    <mergeCell ref="B60:C60"/>
    <mergeCell ref="B63:C63"/>
    <mergeCell ref="B100:C100"/>
    <mergeCell ref="B113:C113"/>
    <mergeCell ref="B101:C101"/>
    <mergeCell ref="B79:C79"/>
    <mergeCell ref="I8:I10"/>
    <mergeCell ref="B21:B22"/>
    <mergeCell ref="B23:B24"/>
    <mergeCell ref="E8:E10"/>
    <mergeCell ref="D8:D10"/>
    <mergeCell ref="F8:F1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3" max="255" man="1"/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PageLayoutView="0" workbookViewId="0" topLeftCell="A4">
      <selection activeCell="M9" sqref="M9"/>
    </sheetView>
  </sheetViews>
  <sheetFormatPr defaultColWidth="9.00390625" defaultRowHeight="12.75"/>
  <cols>
    <col min="1" max="1" width="6.875" style="903" customWidth="1"/>
    <col min="2" max="2" width="10.125" style="903" customWidth="1"/>
    <col min="3" max="3" width="32.375" style="903" customWidth="1"/>
    <col min="4" max="4" width="10.625" style="903" customWidth="1"/>
    <col min="5" max="7" width="9.125" style="903" customWidth="1"/>
    <col min="8" max="8" width="18.875" style="903" customWidth="1"/>
    <col min="9" max="9" width="16.25390625" style="903" customWidth="1"/>
    <col min="10" max="10" width="16.375" style="903" customWidth="1"/>
    <col min="11" max="11" width="15.875" style="903" customWidth="1"/>
    <col min="12" max="12" width="13.375" style="903" customWidth="1"/>
    <col min="13" max="13" width="12.75390625" style="903" customWidth="1"/>
    <col min="14" max="16384" width="9.125" style="903" customWidth="1"/>
  </cols>
  <sheetData>
    <row r="1" spans="1:11" ht="12.75">
      <c r="A1" s="1367" t="s">
        <v>591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</row>
    <row r="2" ht="16.5" customHeight="1"/>
    <row r="3" spans="1:11" ht="14.25" customHeight="1">
      <c r="A3" s="1363" t="s">
        <v>1080</v>
      </c>
      <c r="B3" s="1363"/>
      <c r="C3" s="1363"/>
      <c r="D3" s="1363"/>
      <c r="E3" s="1363"/>
      <c r="F3" s="1363"/>
      <c r="G3" s="1363"/>
      <c r="H3" s="1363"/>
      <c r="I3" s="1363"/>
      <c r="J3" s="1363"/>
      <c r="K3" s="1363"/>
    </row>
    <row r="4" spans="1:8" ht="14.25">
      <c r="A4" s="904"/>
      <c r="B4" s="904"/>
      <c r="C4" s="904"/>
      <c r="D4" s="904"/>
      <c r="E4" s="904"/>
      <c r="F4" s="904"/>
      <c r="G4" s="904"/>
      <c r="H4" s="904"/>
    </row>
    <row r="5" spans="1:8" ht="9.75" customHeight="1">
      <c r="A5" s="904"/>
      <c r="B5" s="904"/>
      <c r="C5" s="904"/>
      <c r="D5" s="904"/>
      <c r="E5" s="904"/>
      <c r="F5" s="904"/>
      <c r="G5" s="904"/>
      <c r="H5" s="904"/>
    </row>
    <row r="6" spans="4:13" ht="12.75">
      <c r="D6" s="905"/>
      <c r="E6" s="905"/>
      <c r="F6" s="905"/>
      <c r="G6" s="905"/>
      <c r="H6" s="905"/>
      <c r="I6" s="906"/>
      <c r="J6" s="906"/>
      <c r="K6" s="906"/>
      <c r="L6" s="906"/>
      <c r="M6" s="906" t="s">
        <v>191</v>
      </c>
    </row>
    <row r="7" spans="1:13" ht="24.75" customHeight="1">
      <c r="A7" s="1361" t="s">
        <v>293</v>
      </c>
      <c r="B7" s="1376" t="s">
        <v>171</v>
      </c>
      <c r="C7" s="1377"/>
      <c r="D7" s="1376" t="s">
        <v>592</v>
      </c>
      <c r="E7" s="1380"/>
      <c r="F7" s="1380"/>
      <c r="G7" s="1380"/>
      <c r="H7" s="1377"/>
      <c r="I7" s="1364" t="s">
        <v>1131</v>
      </c>
      <c r="J7" s="1364" t="s">
        <v>1188</v>
      </c>
      <c r="K7" s="1364" t="s">
        <v>1204</v>
      </c>
      <c r="L7" s="1364" t="s">
        <v>1225</v>
      </c>
      <c r="M7" s="1364" t="s">
        <v>1238</v>
      </c>
    </row>
    <row r="8" spans="1:13" ht="25.5" customHeight="1" thickBot="1">
      <c r="A8" s="1362"/>
      <c r="B8" s="1378"/>
      <c r="C8" s="1379"/>
      <c r="D8" s="1381"/>
      <c r="E8" s="1382"/>
      <c r="F8" s="1382"/>
      <c r="G8" s="1382"/>
      <c r="H8" s="1383"/>
      <c r="I8" s="1365"/>
      <c r="J8" s="1365"/>
      <c r="K8" s="1365"/>
      <c r="L8" s="1365"/>
      <c r="M8" s="1365"/>
    </row>
    <row r="9" spans="1:13" ht="15.75" customHeight="1">
      <c r="A9" s="1345" t="s">
        <v>172</v>
      </c>
      <c r="B9" s="1368" t="s">
        <v>1103</v>
      </c>
      <c r="C9" s="1369"/>
      <c r="D9" s="1359" t="s">
        <v>315</v>
      </c>
      <c r="E9" s="907" t="s">
        <v>593</v>
      </c>
      <c r="F9" s="908"/>
      <c r="G9" s="908"/>
      <c r="H9" s="909"/>
      <c r="I9" s="910"/>
      <c r="J9" s="910"/>
      <c r="K9" s="910"/>
      <c r="L9" s="910"/>
      <c r="M9" s="910"/>
    </row>
    <row r="10" spans="1:13" ht="15.75" customHeight="1">
      <c r="A10" s="1347"/>
      <c r="B10" s="1370"/>
      <c r="C10" s="1371"/>
      <c r="D10" s="1359"/>
      <c r="E10" s="907" t="s">
        <v>594</v>
      </c>
      <c r="F10" s="908"/>
      <c r="G10" s="908"/>
      <c r="H10" s="909"/>
      <c r="I10" s="911">
        <v>209034</v>
      </c>
      <c r="J10" s="911">
        <v>209034</v>
      </c>
      <c r="K10" s="911">
        <v>209034</v>
      </c>
      <c r="L10" s="911">
        <v>209034</v>
      </c>
      <c r="M10" s="911">
        <v>209034</v>
      </c>
    </row>
    <row r="11" spans="1:13" ht="15.75" customHeight="1">
      <c r="A11" s="1347"/>
      <c r="B11" s="1372"/>
      <c r="C11" s="1373"/>
      <c r="D11" s="1366" t="s">
        <v>316</v>
      </c>
      <c r="E11" s="912" t="s">
        <v>317</v>
      </c>
      <c r="F11" s="913"/>
      <c r="G11" s="913"/>
      <c r="H11" s="914"/>
      <c r="I11" s="915"/>
      <c r="J11" s="915">
        <v>4592</v>
      </c>
      <c r="K11" s="915">
        <v>4592</v>
      </c>
      <c r="L11" s="915">
        <v>4592</v>
      </c>
      <c r="M11" s="915">
        <v>4592</v>
      </c>
    </row>
    <row r="12" spans="1:13" ht="15.75" customHeight="1">
      <c r="A12" s="1347"/>
      <c r="B12" s="1372"/>
      <c r="C12" s="1373"/>
      <c r="D12" s="1359"/>
      <c r="E12" s="907" t="s">
        <v>595</v>
      </c>
      <c r="F12" s="908"/>
      <c r="G12" s="908"/>
      <c r="H12" s="909"/>
      <c r="I12" s="911"/>
      <c r="J12" s="911">
        <v>895</v>
      </c>
      <c r="K12" s="911">
        <v>895</v>
      </c>
      <c r="L12" s="911">
        <v>895</v>
      </c>
      <c r="M12" s="911">
        <v>895</v>
      </c>
    </row>
    <row r="13" spans="1:13" ht="15.75" customHeight="1">
      <c r="A13" s="1347"/>
      <c r="B13" s="1372"/>
      <c r="C13" s="1373"/>
      <c r="D13" s="1359"/>
      <c r="E13" s="907" t="s">
        <v>318</v>
      </c>
      <c r="F13" s="908"/>
      <c r="G13" s="908"/>
      <c r="H13" s="909"/>
      <c r="I13" s="911"/>
      <c r="J13" s="911">
        <v>322</v>
      </c>
      <c r="K13" s="911">
        <v>322</v>
      </c>
      <c r="L13" s="911">
        <v>3372</v>
      </c>
      <c r="M13" s="911">
        <v>3372</v>
      </c>
    </row>
    <row r="14" spans="1:13" ht="15.75" customHeight="1">
      <c r="A14" s="1347"/>
      <c r="B14" s="1372"/>
      <c r="C14" s="1373"/>
      <c r="D14" s="1359"/>
      <c r="E14" s="907" t="s">
        <v>106</v>
      </c>
      <c r="F14" s="908"/>
      <c r="G14" s="908"/>
      <c r="H14" s="909"/>
      <c r="I14" s="911"/>
      <c r="J14" s="911"/>
      <c r="K14" s="911"/>
      <c r="L14" s="911"/>
      <c r="M14" s="911"/>
    </row>
    <row r="15" spans="1:13" ht="15.75" customHeight="1">
      <c r="A15" s="1347"/>
      <c r="B15" s="1372"/>
      <c r="C15" s="1373"/>
      <c r="D15" s="1359"/>
      <c r="E15" s="907" t="s">
        <v>596</v>
      </c>
      <c r="F15" s="908"/>
      <c r="G15" s="908"/>
      <c r="H15" s="909"/>
      <c r="I15" s="911">
        <v>264784</v>
      </c>
      <c r="J15" s="911">
        <v>258975</v>
      </c>
      <c r="K15" s="911">
        <v>258975</v>
      </c>
      <c r="L15" s="911">
        <v>255925</v>
      </c>
      <c r="M15" s="911">
        <v>255925</v>
      </c>
    </row>
    <row r="16" spans="1:13" ht="15.75" customHeight="1">
      <c r="A16" s="1347"/>
      <c r="B16" s="1372"/>
      <c r="C16" s="1373"/>
      <c r="D16" s="1359"/>
      <c r="E16" s="907" t="s">
        <v>597</v>
      </c>
      <c r="F16" s="908"/>
      <c r="G16" s="908"/>
      <c r="H16" s="909"/>
      <c r="I16" s="911"/>
      <c r="J16" s="911"/>
      <c r="K16" s="911"/>
      <c r="L16" s="911"/>
      <c r="M16" s="911"/>
    </row>
    <row r="17" spans="1:13" ht="15.75" customHeight="1" thickBot="1">
      <c r="A17" s="1360"/>
      <c r="B17" s="1374"/>
      <c r="C17" s="1375"/>
      <c r="D17" s="1324"/>
      <c r="E17" s="916" t="s">
        <v>598</v>
      </c>
      <c r="F17" s="917"/>
      <c r="G17" s="917"/>
      <c r="H17" s="918"/>
      <c r="I17" s="926">
        <v>106150</v>
      </c>
      <c r="J17" s="926">
        <v>106150</v>
      </c>
      <c r="K17" s="926">
        <v>106150</v>
      </c>
      <c r="L17" s="926">
        <v>106150</v>
      </c>
      <c r="M17" s="926">
        <v>106150</v>
      </c>
    </row>
    <row r="18" spans="1:13" ht="15.75" customHeight="1">
      <c r="A18" s="1345" t="s">
        <v>173</v>
      </c>
      <c r="B18" s="1368" t="s">
        <v>1158</v>
      </c>
      <c r="C18" s="1369"/>
      <c r="D18" s="1359" t="s">
        <v>315</v>
      </c>
      <c r="E18" s="907" t="s">
        <v>593</v>
      </c>
      <c r="F18" s="908"/>
      <c r="G18" s="908"/>
      <c r="H18" s="909"/>
      <c r="I18" s="919"/>
      <c r="J18" s="919"/>
      <c r="K18" s="919"/>
      <c r="L18" s="919"/>
      <c r="M18" s="919"/>
    </row>
    <row r="19" spans="1:13" ht="15.75" customHeight="1">
      <c r="A19" s="1347"/>
      <c r="B19" s="1370"/>
      <c r="C19" s="1371"/>
      <c r="D19" s="1359"/>
      <c r="E19" s="907" t="s">
        <v>594</v>
      </c>
      <c r="F19" s="908"/>
      <c r="G19" s="908"/>
      <c r="H19" s="909"/>
      <c r="I19" s="1145"/>
      <c r="J19" s="1145"/>
      <c r="K19" s="1145"/>
      <c r="L19" s="1145"/>
      <c r="M19" s="1145"/>
    </row>
    <row r="20" spans="1:13" ht="15.75" customHeight="1">
      <c r="A20" s="1347"/>
      <c r="B20" s="1372"/>
      <c r="C20" s="1373"/>
      <c r="D20" s="1366" t="s">
        <v>316</v>
      </c>
      <c r="E20" s="912" t="s">
        <v>317</v>
      </c>
      <c r="F20" s="913"/>
      <c r="G20" s="913"/>
      <c r="H20" s="914"/>
      <c r="I20" s="919"/>
      <c r="J20" s="911">
        <v>128</v>
      </c>
      <c r="K20" s="911">
        <v>128</v>
      </c>
      <c r="L20" s="911">
        <v>128</v>
      </c>
      <c r="M20" s="911">
        <v>128</v>
      </c>
    </row>
    <row r="21" spans="1:13" ht="15.75" customHeight="1">
      <c r="A21" s="1347"/>
      <c r="B21" s="1372"/>
      <c r="C21" s="1373"/>
      <c r="D21" s="1359"/>
      <c r="E21" s="907" t="s">
        <v>595</v>
      </c>
      <c r="F21" s="908"/>
      <c r="G21" s="908"/>
      <c r="H21" s="909"/>
      <c r="I21" s="919"/>
      <c r="J21" s="911">
        <v>25</v>
      </c>
      <c r="K21" s="911">
        <v>25</v>
      </c>
      <c r="L21" s="911">
        <v>25</v>
      </c>
      <c r="M21" s="911">
        <v>25</v>
      </c>
    </row>
    <row r="22" spans="1:13" ht="15.75" customHeight="1">
      <c r="A22" s="1347"/>
      <c r="B22" s="1372"/>
      <c r="C22" s="1373"/>
      <c r="D22" s="1359"/>
      <c r="E22" s="907" t="s">
        <v>318</v>
      </c>
      <c r="F22" s="908"/>
      <c r="G22" s="908"/>
      <c r="H22" s="909"/>
      <c r="I22" s="919"/>
      <c r="J22" s="919"/>
      <c r="K22" s="919"/>
      <c r="L22" s="919"/>
      <c r="M22" s="919"/>
    </row>
    <row r="23" spans="1:13" ht="15.75" customHeight="1">
      <c r="A23" s="1347"/>
      <c r="B23" s="1372"/>
      <c r="C23" s="1373"/>
      <c r="D23" s="1359"/>
      <c r="E23" s="907" t="s">
        <v>106</v>
      </c>
      <c r="F23" s="908"/>
      <c r="G23" s="908"/>
      <c r="H23" s="909"/>
      <c r="I23" s="919"/>
      <c r="J23" s="919"/>
      <c r="K23" s="919"/>
      <c r="L23" s="919"/>
      <c r="M23" s="919"/>
    </row>
    <row r="24" spans="1:13" ht="15.75" customHeight="1">
      <c r="A24" s="1347"/>
      <c r="B24" s="1372"/>
      <c r="C24" s="1373"/>
      <c r="D24" s="1359"/>
      <c r="E24" s="907" t="s">
        <v>596</v>
      </c>
      <c r="F24" s="908"/>
      <c r="G24" s="908"/>
      <c r="H24" s="909"/>
      <c r="I24" s="919"/>
      <c r="J24" s="911">
        <v>5952</v>
      </c>
      <c r="K24" s="911">
        <v>5952</v>
      </c>
      <c r="L24" s="911">
        <v>5952</v>
      </c>
      <c r="M24" s="911">
        <v>5952</v>
      </c>
    </row>
    <row r="25" spans="1:13" ht="15.75" customHeight="1">
      <c r="A25" s="1347"/>
      <c r="B25" s="1372"/>
      <c r="C25" s="1373"/>
      <c r="D25" s="1359"/>
      <c r="E25" s="907" t="s">
        <v>597</v>
      </c>
      <c r="F25" s="908"/>
      <c r="G25" s="908"/>
      <c r="H25" s="909"/>
      <c r="I25" s="919"/>
      <c r="J25" s="919"/>
      <c r="K25" s="919"/>
      <c r="L25" s="919"/>
      <c r="M25" s="919"/>
    </row>
    <row r="26" spans="1:13" ht="15.75" customHeight="1" thickBot="1">
      <c r="A26" s="1360"/>
      <c r="B26" s="1374"/>
      <c r="C26" s="1375"/>
      <c r="D26" s="1324"/>
      <c r="E26" s="916" t="s">
        <v>598</v>
      </c>
      <c r="F26" s="917"/>
      <c r="G26" s="917"/>
      <c r="H26" s="918"/>
      <c r="I26" s="919"/>
      <c r="J26" s="919"/>
      <c r="K26" s="919"/>
      <c r="L26" s="919"/>
      <c r="M26" s="919"/>
    </row>
    <row r="27" spans="1:13" ht="13.5" customHeight="1">
      <c r="A27" s="1345"/>
      <c r="B27" s="1349" t="s">
        <v>186</v>
      </c>
      <c r="C27" s="1350"/>
      <c r="D27" s="1357" t="s">
        <v>315</v>
      </c>
      <c r="E27" s="1085" t="s">
        <v>593</v>
      </c>
      <c r="F27" s="1086"/>
      <c r="G27" s="1086"/>
      <c r="H27" s="1087"/>
      <c r="I27" s="920">
        <v>0</v>
      </c>
      <c r="J27" s="920">
        <v>0</v>
      </c>
      <c r="K27" s="920">
        <v>0</v>
      </c>
      <c r="L27" s="920">
        <v>0</v>
      </c>
      <c r="M27" s="920">
        <v>0</v>
      </c>
    </row>
    <row r="28" spans="1:13" ht="13.5" customHeight="1" thickBot="1">
      <c r="A28" s="1346"/>
      <c r="B28" s="1351"/>
      <c r="C28" s="1352"/>
      <c r="D28" s="1358"/>
      <c r="E28" s="1088" t="s">
        <v>594</v>
      </c>
      <c r="F28" s="917"/>
      <c r="G28" s="917"/>
      <c r="H28" s="918"/>
      <c r="I28" s="1089">
        <v>209034</v>
      </c>
      <c r="J28" s="1089">
        <v>209034</v>
      </c>
      <c r="K28" s="1089">
        <v>209034</v>
      </c>
      <c r="L28" s="1089">
        <v>209034</v>
      </c>
      <c r="M28" s="1089">
        <v>209034</v>
      </c>
    </row>
    <row r="29" spans="1:13" ht="13.5" customHeight="1">
      <c r="A29" s="1347"/>
      <c r="B29" s="1353"/>
      <c r="C29" s="1354"/>
      <c r="D29" s="1359" t="s">
        <v>316</v>
      </c>
      <c r="E29" s="907" t="s">
        <v>317</v>
      </c>
      <c r="F29" s="908"/>
      <c r="G29" s="908"/>
      <c r="H29" s="909"/>
      <c r="I29" s="921">
        <v>0</v>
      </c>
      <c r="J29" s="921">
        <f>SUM(J20+J11)</f>
        <v>4720</v>
      </c>
      <c r="K29" s="921">
        <f>SUM(K20+K11)</f>
        <v>4720</v>
      </c>
      <c r="L29" s="921">
        <f>SUM(L20+L11)</f>
        <v>4720</v>
      </c>
      <c r="M29" s="921">
        <f>SUM(M20+M11)</f>
        <v>4720</v>
      </c>
    </row>
    <row r="30" spans="1:13" ht="13.5" customHeight="1">
      <c r="A30" s="1347"/>
      <c r="B30" s="1353"/>
      <c r="C30" s="1354"/>
      <c r="D30" s="1359"/>
      <c r="E30" s="907" t="s">
        <v>595</v>
      </c>
      <c r="F30" s="908"/>
      <c r="G30" s="908"/>
      <c r="H30" s="909"/>
      <c r="I30" s="921">
        <v>0</v>
      </c>
      <c r="J30" s="921">
        <f>SUM(J12+J21)</f>
        <v>920</v>
      </c>
      <c r="K30" s="921">
        <f>SUM(K12+K21)</f>
        <v>920</v>
      </c>
      <c r="L30" s="921">
        <f>SUM(L12+L21)</f>
        <v>920</v>
      </c>
      <c r="M30" s="921">
        <f>SUM(M12+M21)</f>
        <v>920</v>
      </c>
    </row>
    <row r="31" spans="1:13" ht="13.5" customHeight="1">
      <c r="A31" s="1347"/>
      <c r="B31" s="1353"/>
      <c r="C31" s="1354"/>
      <c r="D31" s="1359"/>
      <c r="E31" s="907" t="s">
        <v>318</v>
      </c>
      <c r="F31" s="908"/>
      <c r="G31" s="908"/>
      <c r="H31" s="909"/>
      <c r="I31" s="921"/>
      <c r="J31" s="921">
        <f>SUM(J22+J13)</f>
        <v>322</v>
      </c>
      <c r="K31" s="921">
        <f>SUM(K22+K13)</f>
        <v>322</v>
      </c>
      <c r="L31" s="921">
        <f>SUM(L22+L13)</f>
        <v>3372</v>
      </c>
      <c r="M31" s="921">
        <f>SUM(M22+M13)</f>
        <v>3372</v>
      </c>
    </row>
    <row r="32" spans="1:13" ht="13.5" customHeight="1">
      <c r="A32" s="1347"/>
      <c r="B32" s="1353"/>
      <c r="C32" s="1354"/>
      <c r="D32" s="1359"/>
      <c r="E32" s="907" t="s">
        <v>106</v>
      </c>
      <c r="F32" s="908"/>
      <c r="G32" s="908"/>
      <c r="H32" s="909"/>
      <c r="I32" s="923">
        <v>0</v>
      </c>
      <c r="J32" s="923">
        <v>0</v>
      </c>
      <c r="K32" s="923">
        <v>0</v>
      </c>
      <c r="L32" s="923">
        <v>0</v>
      </c>
      <c r="M32" s="923">
        <v>0</v>
      </c>
    </row>
    <row r="33" spans="1:13" ht="13.5" customHeight="1">
      <c r="A33" s="1347"/>
      <c r="B33" s="1353"/>
      <c r="C33" s="1354"/>
      <c r="D33" s="1359"/>
      <c r="E33" s="907" t="s">
        <v>107</v>
      </c>
      <c r="F33" s="908"/>
      <c r="G33" s="908"/>
      <c r="H33" s="909"/>
      <c r="I33" s="911">
        <v>0</v>
      </c>
      <c r="J33" s="911">
        <v>0</v>
      </c>
      <c r="K33" s="911">
        <v>0</v>
      </c>
      <c r="L33" s="911">
        <v>0</v>
      </c>
      <c r="M33" s="911">
        <v>0</v>
      </c>
    </row>
    <row r="34" spans="1:13" ht="13.5" customHeight="1">
      <c r="A34" s="1347"/>
      <c r="B34" s="1353"/>
      <c r="C34" s="1354"/>
      <c r="D34" s="1359"/>
      <c r="E34" s="907" t="s">
        <v>597</v>
      </c>
      <c r="F34" s="908"/>
      <c r="G34" s="908"/>
      <c r="H34" s="909"/>
      <c r="I34" s="923">
        <v>0</v>
      </c>
      <c r="J34" s="923">
        <v>0</v>
      </c>
      <c r="K34" s="923">
        <v>0</v>
      </c>
      <c r="L34" s="923">
        <v>0</v>
      </c>
      <c r="M34" s="923">
        <v>0</v>
      </c>
    </row>
    <row r="35" spans="1:13" ht="13.5" customHeight="1">
      <c r="A35" s="1347"/>
      <c r="B35" s="1353"/>
      <c r="C35" s="1354"/>
      <c r="D35" s="1359"/>
      <c r="E35" s="924" t="s">
        <v>598</v>
      </c>
      <c r="F35" s="908"/>
      <c r="G35" s="908"/>
      <c r="H35" s="909"/>
      <c r="I35" s="925">
        <v>0</v>
      </c>
      <c r="J35" s="925">
        <v>0</v>
      </c>
      <c r="K35" s="925">
        <v>0</v>
      </c>
      <c r="L35" s="925">
        <v>0</v>
      </c>
      <c r="M35" s="925">
        <v>0</v>
      </c>
    </row>
    <row r="36" spans="1:13" ht="13.5" customHeight="1">
      <c r="A36" s="1347"/>
      <c r="B36" s="1353"/>
      <c r="C36" s="1354"/>
      <c r="D36" s="1359"/>
      <c r="E36" s="907" t="s">
        <v>596</v>
      </c>
      <c r="F36" s="908"/>
      <c r="G36" s="908"/>
      <c r="H36" s="909"/>
      <c r="I36" s="923">
        <v>264784</v>
      </c>
      <c r="J36" s="923">
        <f>SUM(J24+J15)</f>
        <v>264927</v>
      </c>
      <c r="K36" s="923">
        <f>SUM(K24+K15)</f>
        <v>264927</v>
      </c>
      <c r="L36" s="923">
        <f>SUM(L24+L15)</f>
        <v>261877</v>
      </c>
      <c r="M36" s="923">
        <f>SUM(M24+M15)</f>
        <v>261877</v>
      </c>
    </row>
    <row r="37" spans="1:13" ht="13.5" customHeight="1" thickBot="1">
      <c r="A37" s="1348"/>
      <c r="B37" s="1355"/>
      <c r="C37" s="1356"/>
      <c r="D37" s="1358"/>
      <c r="E37" s="916" t="s">
        <v>598</v>
      </c>
      <c r="F37" s="917"/>
      <c r="G37" s="917"/>
      <c r="H37" s="918"/>
      <c r="I37" s="926">
        <v>106150</v>
      </c>
      <c r="J37" s="926">
        <v>106150</v>
      </c>
      <c r="K37" s="926">
        <v>106150</v>
      </c>
      <c r="L37" s="926">
        <v>106150</v>
      </c>
      <c r="M37" s="926">
        <v>106150</v>
      </c>
    </row>
    <row r="38" spans="1:8" ht="13.5" customHeight="1">
      <c r="A38" s="927"/>
      <c r="B38" s="922"/>
      <c r="C38" s="922"/>
      <c r="D38" s="928"/>
      <c r="E38" s="908"/>
      <c r="F38" s="908"/>
      <c r="G38" s="908"/>
      <c r="H38" s="908"/>
    </row>
  </sheetData>
  <sheetProtection/>
  <mergeCells count="22">
    <mergeCell ref="A1:K1"/>
    <mergeCell ref="B18:C26"/>
    <mergeCell ref="D18:D19"/>
    <mergeCell ref="D20:D26"/>
    <mergeCell ref="J7:J8"/>
    <mergeCell ref="D9:D10"/>
    <mergeCell ref="B7:C8"/>
    <mergeCell ref="D7:H8"/>
    <mergeCell ref="A18:A26"/>
    <mergeCell ref="B9:C17"/>
    <mergeCell ref="A3:K3"/>
    <mergeCell ref="M7:M8"/>
    <mergeCell ref="D11:D17"/>
    <mergeCell ref="L7:L8"/>
    <mergeCell ref="K7:K8"/>
    <mergeCell ref="I7:I8"/>
    <mergeCell ref="A27:A37"/>
    <mergeCell ref="B27:C37"/>
    <mergeCell ref="D27:D28"/>
    <mergeCell ref="D29:D37"/>
    <mergeCell ref="A9:A17"/>
    <mergeCell ref="A7:A8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4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E12" sqref="E12:E13"/>
    </sheetView>
  </sheetViews>
  <sheetFormatPr defaultColWidth="9.00390625" defaultRowHeight="12.75"/>
  <cols>
    <col min="1" max="1" width="4.875" style="929" customWidth="1"/>
    <col min="2" max="2" width="14.125" style="929" customWidth="1"/>
    <col min="3" max="3" width="13.875" style="929" customWidth="1"/>
    <col min="4" max="4" width="14.125" style="929" customWidth="1"/>
    <col min="5" max="5" width="13.125" style="929" customWidth="1"/>
    <col min="6" max="10" width="12.125" style="929" customWidth="1"/>
    <col min="11" max="16384" width="9.125" style="929" customWidth="1"/>
  </cols>
  <sheetData>
    <row r="2" spans="2:10" ht="12.75">
      <c r="B2" s="1419" t="s">
        <v>599</v>
      </c>
      <c r="C2" s="1419"/>
      <c r="D2" s="1419"/>
      <c r="E2" s="1419"/>
      <c r="F2" s="1419"/>
      <c r="G2" s="1419"/>
      <c r="H2" s="1419"/>
      <c r="I2" s="1419"/>
      <c r="J2" s="1419"/>
    </row>
    <row r="4" spans="2:10" ht="12.75">
      <c r="B4" s="1420" t="s">
        <v>1068</v>
      </c>
      <c r="C4" s="1421"/>
      <c r="D4" s="1421"/>
      <c r="E4" s="1421"/>
      <c r="F4" s="1421"/>
      <c r="G4" s="1421"/>
      <c r="H4" s="1421"/>
      <c r="I4" s="1421"/>
      <c r="J4" s="1421"/>
    </row>
    <row r="5" spans="2:10" ht="12.75">
      <c r="B5" s="930"/>
      <c r="C5" s="931"/>
      <c r="D5" s="931"/>
      <c r="E5" s="931"/>
      <c r="F5" s="931"/>
      <c r="G5" s="931"/>
      <c r="H5" s="931"/>
      <c r="I5" s="931"/>
      <c r="J5" s="931"/>
    </row>
    <row r="6" spans="2:10" ht="12.75">
      <c r="B6" s="930"/>
      <c r="C6" s="931"/>
      <c r="D6" s="931"/>
      <c r="E6" s="931"/>
      <c r="F6" s="931"/>
      <c r="G6" s="931"/>
      <c r="H6" s="931"/>
      <c r="I6" s="931"/>
      <c r="J6" s="931"/>
    </row>
    <row r="7" spans="1:10" ht="12.75">
      <c r="A7" s="932"/>
      <c r="J7" s="1118" t="s">
        <v>1114</v>
      </c>
    </row>
    <row r="8" spans="1:10" ht="12.75" customHeight="1">
      <c r="A8" s="1422" t="s">
        <v>600</v>
      </c>
      <c r="B8" s="1425" t="s">
        <v>601</v>
      </c>
      <c r="C8" s="1426"/>
      <c r="D8" s="1427"/>
      <c r="E8" s="1434" t="s">
        <v>1239</v>
      </c>
      <c r="F8" s="1437" t="s">
        <v>602</v>
      </c>
      <c r="G8" s="1438"/>
      <c r="H8" s="1439"/>
      <c r="I8" s="1439"/>
      <c r="J8" s="934"/>
    </row>
    <row r="9" spans="1:10" ht="12.75">
      <c r="A9" s="1423"/>
      <c r="B9" s="1428"/>
      <c r="C9" s="1429"/>
      <c r="D9" s="1430"/>
      <c r="E9" s="1435"/>
      <c r="F9" s="1437" t="s">
        <v>603</v>
      </c>
      <c r="G9" s="1438"/>
      <c r="H9" s="1437" t="s">
        <v>604</v>
      </c>
      <c r="I9" s="1440"/>
      <c r="J9" s="1417" t="s">
        <v>605</v>
      </c>
    </row>
    <row r="10" spans="1:10" ht="12.75" customHeight="1">
      <c r="A10" s="1423"/>
      <c r="B10" s="1428"/>
      <c r="C10" s="1429"/>
      <c r="D10" s="1430"/>
      <c r="E10" s="1435"/>
      <c r="F10" s="1417" t="s">
        <v>606</v>
      </c>
      <c r="G10" s="1415" t="s">
        <v>607</v>
      </c>
      <c r="H10" s="1417" t="s">
        <v>608</v>
      </c>
      <c r="I10" s="1417" t="s">
        <v>609</v>
      </c>
      <c r="J10" s="1441"/>
    </row>
    <row r="11" spans="1:10" ht="37.5" customHeight="1">
      <c r="A11" s="1424"/>
      <c r="B11" s="1431"/>
      <c r="C11" s="1432"/>
      <c r="D11" s="1433"/>
      <c r="E11" s="1436"/>
      <c r="F11" s="1418"/>
      <c r="G11" s="1416"/>
      <c r="H11" s="1418"/>
      <c r="I11" s="1418"/>
      <c r="J11" s="1418"/>
    </row>
    <row r="12" spans="1:10" ht="12.75">
      <c r="A12" s="1386"/>
      <c r="B12" s="1409" t="s">
        <v>610</v>
      </c>
      <c r="C12" s="1410"/>
      <c r="D12" s="1411"/>
      <c r="E12" s="1400"/>
      <c r="F12" s="1400"/>
      <c r="G12" s="1400"/>
      <c r="H12" s="1400"/>
      <c r="I12" s="1400"/>
      <c r="J12" s="1400"/>
    </row>
    <row r="13" spans="1:10" ht="12.75">
      <c r="A13" s="1387"/>
      <c r="B13" s="1412"/>
      <c r="C13" s="1413"/>
      <c r="D13" s="1414"/>
      <c r="E13" s="1401"/>
      <c r="F13" s="1401"/>
      <c r="G13" s="1401"/>
      <c r="H13" s="1401"/>
      <c r="I13" s="1401"/>
      <c r="J13" s="1401"/>
    </row>
    <row r="14" spans="1:10" ht="12.75">
      <c r="A14" s="1402" t="s">
        <v>172</v>
      </c>
      <c r="B14" s="1403" t="s">
        <v>611</v>
      </c>
      <c r="C14" s="1404"/>
      <c r="D14" s="1405"/>
      <c r="E14" s="1400">
        <f>SUM(F14+G14+H14+I14)</f>
        <v>17</v>
      </c>
      <c r="F14" s="1400">
        <v>15</v>
      </c>
      <c r="G14" s="1400"/>
      <c r="H14" s="1400">
        <v>2</v>
      </c>
      <c r="I14" s="1400"/>
      <c r="J14" s="1400"/>
    </row>
    <row r="15" spans="1:10" ht="12.75">
      <c r="A15" s="1387"/>
      <c r="B15" s="1406"/>
      <c r="C15" s="1407"/>
      <c r="D15" s="1408"/>
      <c r="E15" s="1401"/>
      <c r="F15" s="1401"/>
      <c r="G15" s="1401"/>
      <c r="H15" s="1401"/>
      <c r="I15" s="1401"/>
      <c r="J15" s="1401"/>
    </row>
    <row r="16" spans="1:10" ht="12.75">
      <c r="A16" s="1386" t="s">
        <v>173</v>
      </c>
      <c r="B16" s="1403" t="s">
        <v>612</v>
      </c>
      <c r="C16" s="1404"/>
      <c r="D16" s="1405"/>
      <c r="E16" s="1400">
        <f>SUM(F16+G16+H16+I16)</f>
        <v>3</v>
      </c>
      <c r="F16" s="1400">
        <v>3</v>
      </c>
      <c r="G16" s="1400"/>
      <c r="H16" s="1400"/>
      <c r="I16" s="1400"/>
      <c r="J16" s="1400"/>
    </row>
    <row r="17" spans="1:10" ht="12.75">
      <c r="A17" s="1387"/>
      <c r="B17" s="1406"/>
      <c r="C17" s="1407"/>
      <c r="D17" s="1408"/>
      <c r="E17" s="1401"/>
      <c r="F17" s="1401"/>
      <c r="G17" s="1401"/>
      <c r="H17" s="1401"/>
      <c r="I17" s="1401"/>
      <c r="J17" s="1401"/>
    </row>
    <row r="18" spans="1:10" ht="12.75">
      <c r="A18" s="1386" t="s">
        <v>174</v>
      </c>
      <c r="B18" s="1403" t="s">
        <v>613</v>
      </c>
      <c r="C18" s="1404"/>
      <c r="D18" s="1405"/>
      <c r="E18" s="1400">
        <f>SUM(F18+G18+H18+I18)</f>
        <v>20</v>
      </c>
      <c r="F18" s="1400">
        <v>20</v>
      </c>
      <c r="G18" s="1400"/>
      <c r="H18" s="1400"/>
      <c r="I18" s="1400"/>
      <c r="J18" s="1400"/>
    </row>
    <row r="19" spans="1:10" ht="12.75">
      <c r="A19" s="1387"/>
      <c r="B19" s="1406"/>
      <c r="C19" s="1407"/>
      <c r="D19" s="1408"/>
      <c r="E19" s="1401"/>
      <c r="F19" s="1401"/>
      <c r="G19" s="1401"/>
      <c r="H19" s="1401"/>
      <c r="I19" s="1401"/>
      <c r="J19" s="1401"/>
    </row>
    <row r="20" spans="1:10" ht="12.75">
      <c r="A20" s="1402" t="s">
        <v>175</v>
      </c>
      <c r="B20" s="1403" t="s">
        <v>614</v>
      </c>
      <c r="C20" s="1404"/>
      <c r="D20" s="1405"/>
      <c r="E20" s="1400">
        <f>SUM(F20+G20+H20+I20)</f>
        <v>32</v>
      </c>
      <c r="F20" s="1400">
        <v>30</v>
      </c>
      <c r="G20" s="1400"/>
      <c r="H20" s="1400">
        <v>2</v>
      </c>
      <c r="I20" s="1400"/>
      <c r="J20" s="1400"/>
    </row>
    <row r="21" spans="1:10" ht="12.75">
      <c r="A21" s="1387"/>
      <c r="B21" s="1406"/>
      <c r="C21" s="1407"/>
      <c r="D21" s="1408"/>
      <c r="E21" s="1401"/>
      <c r="F21" s="1401"/>
      <c r="G21" s="1401"/>
      <c r="H21" s="1401"/>
      <c r="I21" s="1401"/>
      <c r="J21" s="1401"/>
    </row>
    <row r="22" spans="1:10" ht="12.75">
      <c r="A22" s="1386" t="s">
        <v>176</v>
      </c>
      <c r="B22" s="1403" t="s">
        <v>615</v>
      </c>
      <c r="C22" s="1404"/>
      <c r="D22" s="1405"/>
      <c r="E22" s="1400">
        <f>SUM(F22+G22+H22+I22)</f>
        <v>23</v>
      </c>
      <c r="F22" s="1400">
        <v>18</v>
      </c>
      <c r="G22" s="1400"/>
      <c r="H22" s="1400">
        <v>5</v>
      </c>
      <c r="I22" s="1400"/>
      <c r="J22" s="1400"/>
    </row>
    <row r="23" spans="1:10" ht="12.75">
      <c r="A23" s="1387"/>
      <c r="B23" s="1406"/>
      <c r="C23" s="1407"/>
      <c r="D23" s="1408"/>
      <c r="E23" s="1401"/>
      <c r="F23" s="1401"/>
      <c r="G23" s="1401"/>
      <c r="H23" s="1401"/>
      <c r="I23" s="1401"/>
      <c r="J23" s="1401"/>
    </row>
    <row r="24" spans="1:10" ht="12.75">
      <c r="A24" s="1402" t="s">
        <v>47</v>
      </c>
      <c r="B24" s="1403" t="s">
        <v>616</v>
      </c>
      <c r="C24" s="1404"/>
      <c r="D24" s="1405"/>
      <c r="E24" s="1400">
        <f>SUM(F24+G24+H24+I24)</f>
        <v>13</v>
      </c>
      <c r="F24" s="1400">
        <v>12</v>
      </c>
      <c r="G24" s="1400"/>
      <c r="H24" s="1400">
        <v>1</v>
      </c>
      <c r="I24" s="1400"/>
      <c r="J24" s="1400"/>
    </row>
    <row r="25" spans="1:10" ht="12.75">
      <c r="A25" s="1387"/>
      <c r="B25" s="1406"/>
      <c r="C25" s="1407"/>
      <c r="D25" s="1408"/>
      <c r="E25" s="1401"/>
      <c r="F25" s="1401"/>
      <c r="G25" s="1401"/>
      <c r="H25" s="1401"/>
      <c r="I25" s="1401"/>
      <c r="J25" s="1401"/>
    </row>
    <row r="26" spans="1:10" ht="12.75">
      <c r="A26" s="1402" t="s">
        <v>386</v>
      </c>
      <c r="B26" s="1403" t="s">
        <v>617</v>
      </c>
      <c r="C26" s="1404"/>
      <c r="D26" s="1405"/>
      <c r="E26" s="1400">
        <f>SUM(F26+G26+H26+I26)</f>
        <v>1</v>
      </c>
      <c r="F26" s="1400">
        <v>1</v>
      </c>
      <c r="G26" s="1400"/>
      <c r="H26" s="1400"/>
      <c r="I26" s="1400"/>
      <c r="J26" s="1400"/>
    </row>
    <row r="27" spans="1:10" ht="12.75">
      <c r="A27" s="1387"/>
      <c r="B27" s="1406"/>
      <c r="C27" s="1407"/>
      <c r="D27" s="1408"/>
      <c r="E27" s="1401"/>
      <c r="F27" s="1401"/>
      <c r="G27" s="1401"/>
      <c r="H27" s="1401"/>
      <c r="I27" s="1401"/>
      <c r="J27" s="1401"/>
    </row>
    <row r="28" spans="1:10" ht="12.75">
      <c r="A28" s="1386" t="s">
        <v>618</v>
      </c>
      <c r="B28" s="1403" t="s">
        <v>619</v>
      </c>
      <c r="C28" s="1404"/>
      <c r="D28" s="1405"/>
      <c r="E28" s="1400">
        <f>SUM(F28+G28+H28+I28)</f>
        <v>25</v>
      </c>
      <c r="F28" s="1400">
        <v>25</v>
      </c>
      <c r="G28" s="1400"/>
      <c r="H28" s="1400"/>
      <c r="I28" s="1400"/>
      <c r="J28" s="1400"/>
    </row>
    <row r="29" spans="1:10" ht="12.75">
      <c r="A29" s="1387"/>
      <c r="B29" s="1406"/>
      <c r="C29" s="1407"/>
      <c r="D29" s="1408"/>
      <c r="E29" s="1401"/>
      <c r="F29" s="1401"/>
      <c r="G29" s="1401"/>
      <c r="H29" s="1401"/>
      <c r="I29" s="1401"/>
      <c r="J29" s="1401"/>
    </row>
    <row r="30" spans="1:10" ht="12.75">
      <c r="A30" s="1386" t="s">
        <v>620</v>
      </c>
      <c r="B30" s="1403" t="s">
        <v>621</v>
      </c>
      <c r="C30" s="1404"/>
      <c r="D30" s="1405"/>
      <c r="E30" s="1400">
        <f>SUM(F30+G30+H30+I30)</f>
        <v>30</v>
      </c>
      <c r="F30" s="1400">
        <v>30</v>
      </c>
      <c r="G30" s="1400"/>
      <c r="H30" s="1400"/>
      <c r="I30" s="1400"/>
      <c r="J30" s="1400"/>
    </row>
    <row r="31" spans="1:10" ht="12.75">
      <c r="A31" s="1387"/>
      <c r="B31" s="1406"/>
      <c r="C31" s="1407"/>
      <c r="D31" s="1408"/>
      <c r="E31" s="1401"/>
      <c r="F31" s="1401"/>
      <c r="G31" s="1401"/>
      <c r="H31" s="1401"/>
      <c r="I31" s="1401"/>
      <c r="J31" s="1401"/>
    </row>
    <row r="32" spans="1:10" ht="12.75">
      <c r="A32" s="1402" t="s">
        <v>622</v>
      </c>
      <c r="B32" s="1403" t="s">
        <v>623</v>
      </c>
      <c r="C32" s="1404"/>
      <c r="D32" s="1405"/>
      <c r="E32" s="1400">
        <f>SUM(F32+G32+H32+I32)</f>
        <v>12</v>
      </c>
      <c r="F32" s="1400">
        <v>10</v>
      </c>
      <c r="G32" s="1400">
        <v>1</v>
      </c>
      <c r="H32" s="1400"/>
      <c r="I32" s="1400">
        <v>1</v>
      </c>
      <c r="J32" s="1400"/>
    </row>
    <row r="33" spans="1:10" ht="12.75">
      <c r="A33" s="1387"/>
      <c r="B33" s="1406"/>
      <c r="C33" s="1407"/>
      <c r="D33" s="1408"/>
      <c r="E33" s="1401"/>
      <c r="F33" s="1401"/>
      <c r="G33" s="1401"/>
      <c r="H33" s="1401"/>
      <c r="I33" s="1401"/>
      <c r="J33" s="1401"/>
    </row>
    <row r="34" spans="1:10" ht="12.75">
      <c r="A34" s="1402" t="s">
        <v>624</v>
      </c>
      <c r="B34" s="1403" t="s">
        <v>625</v>
      </c>
      <c r="C34" s="1404"/>
      <c r="D34" s="1405"/>
      <c r="E34" s="1400">
        <f>SUM(F34+G34+H34+I34)</f>
        <v>23</v>
      </c>
      <c r="F34" s="1400">
        <v>21</v>
      </c>
      <c r="G34" s="1400"/>
      <c r="H34" s="1400">
        <v>2</v>
      </c>
      <c r="I34" s="1400"/>
      <c r="J34" s="1400"/>
    </row>
    <row r="35" spans="1:10" ht="12.75">
      <c r="A35" s="1387"/>
      <c r="B35" s="1406"/>
      <c r="C35" s="1407"/>
      <c r="D35" s="1408"/>
      <c r="E35" s="1401"/>
      <c r="F35" s="1401"/>
      <c r="G35" s="1401"/>
      <c r="H35" s="1401"/>
      <c r="I35" s="1401"/>
      <c r="J35" s="1401"/>
    </row>
    <row r="36" spans="1:10" ht="12.75">
      <c r="A36" s="1402" t="s">
        <v>626</v>
      </c>
      <c r="B36" s="1403" t="s">
        <v>627</v>
      </c>
      <c r="C36" s="1404"/>
      <c r="D36" s="1405"/>
      <c r="E36" s="1400">
        <f>SUM(F36+G36+H36+I36)</f>
        <v>20</v>
      </c>
      <c r="F36" s="1400">
        <v>19</v>
      </c>
      <c r="G36" s="1400"/>
      <c r="H36" s="1400">
        <v>1</v>
      </c>
      <c r="I36" s="1400"/>
      <c r="J36" s="1400"/>
    </row>
    <row r="37" spans="1:10" ht="12.75">
      <c r="A37" s="1387"/>
      <c r="B37" s="1406"/>
      <c r="C37" s="1407"/>
      <c r="D37" s="1408"/>
      <c r="E37" s="1401"/>
      <c r="F37" s="1401"/>
      <c r="G37" s="1401"/>
      <c r="H37" s="1401"/>
      <c r="I37" s="1401"/>
      <c r="J37" s="1401"/>
    </row>
    <row r="38" spans="1:10" ht="12.75">
      <c r="A38" s="1402" t="s">
        <v>628</v>
      </c>
      <c r="B38" s="1403" t="s">
        <v>629</v>
      </c>
      <c r="C38" s="1404"/>
      <c r="D38" s="1405"/>
      <c r="E38" s="1400">
        <f>SUM(F38+G38+H38+I38)</f>
        <v>18</v>
      </c>
      <c r="F38" s="1400">
        <v>17</v>
      </c>
      <c r="G38" s="1400"/>
      <c r="H38" s="1400">
        <v>1</v>
      </c>
      <c r="I38" s="1400"/>
      <c r="J38" s="1400"/>
    </row>
    <row r="39" spans="1:10" ht="12.75">
      <c r="A39" s="1387"/>
      <c r="B39" s="1406"/>
      <c r="C39" s="1407"/>
      <c r="D39" s="1408"/>
      <c r="E39" s="1401"/>
      <c r="F39" s="1401"/>
      <c r="G39" s="1401"/>
      <c r="H39" s="1401"/>
      <c r="I39" s="1401"/>
      <c r="J39" s="1401"/>
    </row>
    <row r="40" spans="1:10" ht="12" customHeight="1">
      <c r="A40" s="1402"/>
      <c r="B40" s="1409" t="s">
        <v>158</v>
      </c>
      <c r="C40" s="1410"/>
      <c r="D40" s="1411"/>
      <c r="E40" s="1384">
        <f>SUM(E14:E39)</f>
        <v>237</v>
      </c>
      <c r="F40" s="1384">
        <f>SUM(F14:F39)</f>
        <v>221</v>
      </c>
      <c r="G40" s="1384">
        <f>SUM(G14:G39)</f>
        <v>1</v>
      </c>
      <c r="H40" s="1384">
        <f>SUM(H14:H39)</f>
        <v>14</v>
      </c>
      <c r="I40" s="1384">
        <f>SUM(I14:I39)</f>
        <v>1</v>
      </c>
      <c r="J40" s="1384"/>
    </row>
    <row r="41" spans="1:10" ht="12" customHeight="1">
      <c r="A41" s="1387"/>
      <c r="B41" s="1412"/>
      <c r="C41" s="1413"/>
      <c r="D41" s="1414"/>
      <c r="E41" s="1385"/>
      <c r="F41" s="1385"/>
      <c r="G41" s="1385"/>
      <c r="H41" s="1385"/>
      <c r="I41" s="1385"/>
      <c r="J41" s="1385"/>
    </row>
    <row r="42" spans="1:10" ht="12" customHeight="1">
      <c r="A42" s="1386" t="s">
        <v>630</v>
      </c>
      <c r="B42" s="1409" t="s">
        <v>631</v>
      </c>
      <c r="C42" s="1410"/>
      <c r="D42" s="1411"/>
      <c r="E42" s="1384">
        <f>SUM(F42+G42+H42+I42)</f>
        <v>77</v>
      </c>
      <c r="F42" s="1384">
        <v>61</v>
      </c>
      <c r="G42" s="1384"/>
      <c r="H42" s="1384">
        <v>16</v>
      </c>
      <c r="I42" s="1384"/>
      <c r="J42" s="1384"/>
    </row>
    <row r="43" spans="1:10" ht="12" customHeight="1">
      <c r="A43" s="1387"/>
      <c r="B43" s="1412"/>
      <c r="C43" s="1413"/>
      <c r="D43" s="1414"/>
      <c r="E43" s="1385"/>
      <c r="F43" s="1385"/>
      <c r="G43" s="1385"/>
      <c r="H43" s="1385"/>
      <c r="I43" s="1385"/>
      <c r="J43" s="1385"/>
    </row>
    <row r="44" spans="1:10" ht="12.75">
      <c r="A44" s="936"/>
      <c r="B44" s="935"/>
      <c r="C44" s="935"/>
      <c r="D44" s="935"/>
      <c r="E44" s="937"/>
      <c r="F44" s="937"/>
      <c r="G44" s="937"/>
      <c r="H44" s="937"/>
      <c r="I44" s="937"/>
      <c r="J44" s="937"/>
    </row>
    <row r="45" spans="1:10" ht="12.75">
      <c r="A45" s="938"/>
      <c r="B45" s="939"/>
      <c r="C45" s="939"/>
      <c r="D45" s="939"/>
      <c r="E45" s="940"/>
      <c r="F45" s="940"/>
      <c r="G45" s="940"/>
      <c r="H45" s="940"/>
      <c r="I45" s="940"/>
      <c r="J45" s="940"/>
    </row>
    <row r="46" spans="1:10" ht="12.75">
      <c r="A46" s="938"/>
      <c r="B46" s="939"/>
      <c r="C46" s="939"/>
      <c r="D46" s="939"/>
      <c r="E46" s="940"/>
      <c r="F46" s="940"/>
      <c r="G46" s="940"/>
      <c r="H46" s="940"/>
      <c r="I46" s="940"/>
      <c r="J46" s="940"/>
    </row>
    <row r="47" spans="1:10" ht="12.75">
      <c r="A47" s="938"/>
      <c r="B47" s="939"/>
      <c r="C47" s="939"/>
      <c r="D47" s="939"/>
      <c r="E47" s="940"/>
      <c r="F47" s="940"/>
      <c r="G47" s="940"/>
      <c r="H47" s="940"/>
      <c r="I47" s="940"/>
      <c r="J47" s="940"/>
    </row>
    <row r="48" spans="1:10" ht="12.75">
      <c r="A48" s="938"/>
      <c r="B48" s="939"/>
      <c r="C48" s="939"/>
      <c r="D48" s="939"/>
      <c r="E48" s="940"/>
      <c r="F48" s="940"/>
      <c r="G48" s="940"/>
      <c r="H48" s="940"/>
      <c r="I48" s="940"/>
      <c r="J48" s="940"/>
    </row>
    <row r="49" spans="1:10" ht="12.75">
      <c r="A49" s="938"/>
      <c r="B49" s="939"/>
      <c r="C49" s="939"/>
      <c r="D49" s="939"/>
      <c r="E49" s="940"/>
      <c r="F49" s="940"/>
      <c r="G49" s="940"/>
      <c r="H49" s="940"/>
      <c r="I49" s="940"/>
      <c r="J49" s="940"/>
    </row>
    <row r="50" spans="1:10" ht="12.75">
      <c r="A50" s="938"/>
      <c r="B50" s="939"/>
      <c r="C50" s="939"/>
      <c r="D50" s="939"/>
      <c r="E50" s="940"/>
      <c r="F50" s="940"/>
      <c r="G50" s="940"/>
      <c r="H50" s="940"/>
      <c r="I50" s="940"/>
      <c r="J50" s="940"/>
    </row>
    <row r="51" spans="1:10" ht="12.75">
      <c r="A51" s="1386" t="s">
        <v>630</v>
      </c>
      <c r="B51" s="1403" t="s">
        <v>632</v>
      </c>
      <c r="C51" s="1404"/>
      <c r="D51" s="1405"/>
      <c r="E51" s="1400">
        <f>SUM(F51+G51+H51+I51)</f>
        <v>32</v>
      </c>
      <c r="F51" s="1400">
        <v>29</v>
      </c>
      <c r="G51" s="1400"/>
      <c r="H51" s="1400">
        <v>3</v>
      </c>
      <c r="I51" s="1400"/>
      <c r="J51" s="1400"/>
    </row>
    <row r="52" spans="1:10" ht="12.75">
      <c r="A52" s="1387"/>
      <c r="B52" s="1406"/>
      <c r="C52" s="1407"/>
      <c r="D52" s="1408"/>
      <c r="E52" s="1401"/>
      <c r="F52" s="1401"/>
      <c r="G52" s="1401"/>
      <c r="H52" s="1401"/>
      <c r="I52" s="1401"/>
      <c r="J52" s="1401"/>
    </row>
    <row r="53" spans="1:10" ht="12.75">
      <c r="A53" s="1402" t="s">
        <v>633</v>
      </c>
      <c r="B53" s="1403" t="s">
        <v>634</v>
      </c>
      <c r="C53" s="1404"/>
      <c r="D53" s="1405"/>
      <c r="E53" s="1400">
        <f>SUM(F53+G53+H53+I53)</f>
        <v>39</v>
      </c>
      <c r="F53" s="1400">
        <v>37</v>
      </c>
      <c r="G53" s="1400"/>
      <c r="H53" s="1400">
        <v>2</v>
      </c>
      <c r="I53" s="1400"/>
      <c r="J53" s="1400"/>
    </row>
    <row r="54" spans="1:10" ht="12.75">
      <c r="A54" s="1387"/>
      <c r="B54" s="1406"/>
      <c r="C54" s="1407"/>
      <c r="D54" s="1408"/>
      <c r="E54" s="1401"/>
      <c r="F54" s="1401"/>
      <c r="G54" s="1401"/>
      <c r="H54" s="1401"/>
      <c r="I54" s="1401"/>
      <c r="J54" s="1401"/>
    </row>
    <row r="55" spans="1:10" ht="12.75">
      <c r="A55" s="1402" t="s">
        <v>635</v>
      </c>
      <c r="B55" s="1403" t="s">
        <v>636</v>
      </c>
      <c r="C55" s="1404"/>
      <c r="D55" s="1405"/>
      <c r="E55" s="1400">
        <f>SUM(F55+G55+H55+I55)</f>
        <v>16</v>
      </c>
      <c r="F55" s="1400">
        <v>14</v>
      </c>
      <c r="G55" s="1400"/>
      <c r="H55" s="1400">
        <v>2</v>
      </c>
      <c r="I55" s="1400"/>
      <c r="J55" s="1400"/>
    </row>
    <row r="56" spans="1:10" ht="12.75">
      <c r="A56" s="1387"/>
      <c r="B56" s="1406"/>
      <c r="C56" s="1407"/>
      <c r="D56" s="1408"/>
      <c r="E56" s="1401"/>
      <c r="F56" s="1401"/>
      <c r="G56" s="1401"/>
      <c r="H56" s="1401"/>
      <c r="I56" s="1401"/>
      <c r="J56" s="1401"/>
    </row>
    <row r="57" spans="1:10" ht="12.75">
      <c r="A57" s="1386" t="s">
        <v>637</v>
      </c>
      <c r="B57" s="1403" t="s">
        <v>638</v>
      </c>
      <c r="C57" s="1404"/>
      <c r="D57" s="1405"/>
      <c r="E57" s="1400">
        <f>SUM(F57+G57+H57+I57)</f>
        <v>63</v>
      </c>
      <c r="F57" s="1400">
        <v>59</v>
      </c>
      <c r="G57" s="1400"/>
      <c r="H57" s="1400">
        <v>4</v>
      </c>
      <c r="I57" s="1400"/>
      <c r="J57" s="1400"/>
    </row>
    <row r="58" spans="1:10" ht="12.75">
      <c r="A58" s="1387"/>
      <c r="B58" s="1406"/>
      <c r="C58" s="1407"/>
      <c r="D58" s="1408"/>
      <c r="E58" s="1401"/>
      <c r="F58" s="1401"/>
      <c r="G58" s="1401"/>
      <c r="H58" s="1401"/>
      <c r="I58" s="1401"/>
      <c r="J58" s="1401"/>
    </row>
    <row r="59" spans="1:10" ht="12.75">
      <c r="A59" s="1402" t="s">
        <v>639</v>
      </c>
      <c r="B59" s="1403" t="s">
        <v>640</v>
      </c>
      <c r="C59" s="1404"/>
      <c r="D59" s="1405"/>
      <c r="E59" s="1400">
        <f>SUM(F59+G59+H59+I59)</f>
        <v>32</v>
      </c>
      <c r="F59" s="1400">
        <v>31</v>
      </c>
      <c r="G59" s="1400"/>
      <c r="H59" s="1400">
        <v>1</v>
      </c>
      <c r="I59" s="1400"/>
      <c r="J59" s="1400"/>
    </row>
    <row r="60" spans="1:10" ht="12.75">
      <c r="A60" s="1387"/>
      <c r="B60" s="1406"/>
      <c r="C60" s="1407"/>
      <c r="D60" s="1408"/>
      <c r="E60" s="1401"/>
      <c r="F60" s="1401"/>
      <c r="G60" s="1401"/>
      <c r="H60" s="1401"/>
      <c r="I60" s="1401"/>
      <c r="J60" s="1401"/>
    </row>
    <row r="61" spans="1:10" ht="12.75">
      <c r="A61" s="1402" t="s">
        <v>641</v>
      </c>
      <c r="B61" s="1403" t="s">
        <v>642</v>
      </c>
      <c r="C61" s="1404"/>
      <c r="D61" s="1405"/>
      <c r="E61" s="1400">
        <f>SUM(F61+G61+H61+I61)</f>
        <v>25</v>
      </c>
      <c r="F61" s="1400">
        <v>23</v>
      </c>
      <c r="G61" s="1400"/>
      <c r="H61" s="1400">
        <v>2</v>
      </c>
      <c r="I61" s="1400"/>
      <c r="J61" s="1400"/>
    </row>
    <row r="62" spans="1:10" ht="12.75">
      <c r="A62" s="1387"/>
      <c r="B62" s="1406"/>
      <c r="C62" s="1407"/>
      <c r="D62" s="1408"/>
      <c r="E62" s="1401"/>
      <c r="F62" s="1401"/>
      <c r="G62" s="1401"/>
      <c r="H62" s="1401"/>
      <c r="I62" s="1401"/>
      <c r="J62" s="1401"/>
    </row>
    <row r="63" spans="1:10" ht="12.75">
      <c r="A63" s="1402" t="s">
        <v>643</v>
      </c>
      <c r="B63" s="1403" t="s">
        <v>644</v>
      </c>
      <c r="C63" s="1404"/>
      <c r="D63" s="1405"/>
      <c r="E63" s="1400">
        <f>SUM(F63+G63+H63+I63)</f>
        <v>16</v>
      </c>
      <c r="F63" s="1400">
        <v>15</v>
      </c>
      <c r="G63" s="1400"/>
      <c r="H63" s="1400">
        <v>1</v>
      </c>
      <c r="I63" s="1400"/>
      <c r="J63" s="1400"/>
    </row>
    <row r="64" spans="1:10" ht="12.75">
      <c r="A64" s="1387"/>
      <c r="B64" s="1406"/>
      <c r="C64" s="1407"/>
      <c r="D64" s="1408"/>
      <c r="E64" s="1401"/>
      <c r="F64" s="1401"/>
      <c r="G64" s="1401"/>
      <c r="H64" s="1401"/>
      <c r="I64" s="1401"/>
      <c r="J64" s="1401"/>
    </row>
    <row r="65" spans="1:10" ht="12.75">
      <c r="A65" s="1402" t="s">
        <v>645</v>
      </c>
      <c r="B65" s="1403" t="s">
        <v>646</v>
      </c>
      <c r="C65" s="1404"/>
      <c r="D65" s="1405"/>
      <c r="E65" s="1400">
        <f>SUM(F65+G65+H65+I65)</f>
        <v>16</v>
      </c>
      <c r="F65" s="1400">
        <v>15</v>
      </c>
      <c r="G65" s="1400"/>
      <c r="H65" s="1400">
        <v>1</v>
      </c>
      <c r="I65" s="1400"/>
      <c r="J65" s="1400"/>
    </row>
    <row r="66" spans="1:10" ht="12.75">
      <c r="A66" s="1387"/>
      <c r="B66" s="1406"/>
      <c r="C66" s="1407"/>
      <c r="D66" s="1408"/>
      <c r="E66" s="1401"/>
      <c r="F66" s="1401"/>
      <c r="G66" s="1401"/>
      <c r="H66" s="1401"/>
      <c r="I66" s="1401"/>
      <c r="J66" s="1401"/>
    </row>
    <row r="67" spans="1:10" ht="12.75">
      <c r="A67" s="1402" t="s">
        <v>647</v>
      </c>
      <c r="B67" s="1403" t="s">
        <v>648</v>
      </c>
      <c r="C67" s="1404"/>
      <c r="D67" s="1405"/>
      <c r="E67" s="1400">
        <f>SUM(F67+G67+H67+I67)</f>
        <v>16</v>
      </c>
      <c r="F67" s="1400">
        <v>14</v>
      </c>
      <c r="G67" s="1400"/>
      <c r="H67" s="1400">
        <v>2</v>
      </c>
      <c r="I67" s="1400"/>
      <c r="J67" s="1400"/>
    </row>
    <row r="68" spans="1:10" ht="12.75">
      <c r="A68" s="1387"/>
      <c r="B68" s="1406"/>
      <c r="C68" s="1407"/>
      <c r="D68" s="1408"/>
      <c r="E68" s="1401"/>
      <c r="F68" s="1401"/>
      <c r="G68" s="1401"/>
      <c r="H68" s="1401"/>
      <c r="I68" s="1401"/>
      <c r="J68" s="1401"/>
    </row>
    <row r="69" spans="1:10" ht="12.75">
      <c r="A69" s="1402" t="s">
        <v>649</v>
      </c>
      <c r="B69" s="1403" t="s">
        <v>650</v>
      </c>
      <c r="C69" s="1404"/>
      <c r="D69" s="1405"/>
      <c r="E69" s="1400">
        <f>SUM(F69+G69+H69+I69)</f>
        <v>134</v>
      </c>
      <c r="F69" s="1400">
        <v>134</v>
      </c>
      <c r="G69" s="1400"/>
      <c r="H69" s="1400"/>
      <c r="I69" s="1400"/>
      <c r="J69" s="1400"/>
    </row>
    <row r="70" spans="1:10" ht="12.75">
      <c r="A70" s="1387"/>
      <c r="B70" s="1406"/>
      <c r="C70" s="1407"/>
      <c r="D70" s="1408"/>
      <c r="E70" s="1401"/>
      <c r="F70" s="1401"/>
      <c r="G70" s="1401"/>
      <c r="H70" s="1401"/>
      <c r="I70" s="1401"/>
      <c r="J70" s="1401"/>
    </row>
    <row r="71" spans="1:10" ht="12.75">
      <c r="A71" s="1402" t="s">
        <v>651</v>
      </c>
      <c r="B71" s="1403" t="s">
        <v>652</v>
      </c>
      <c r="C71" s="1404"/>
      <c r="D71" s="1405"/>
      <c r="E71" s="1400">
        <f>SUM(F71+G71+H71+I71)</f>
        <v>121</v>
      </c>
      <c r="F71" s="1400">
        <v>75</v>
      </c>
      <c r="G71" s="1400">
        <v>1</v>
      </c>
      <c r="H71" s="1400">
        <v>45</v>
      </c>
      <c r="I71" s="1400"/>
      <c r="J71" s="1400"/>
    </row>
    <row r="72" spans="1:10" ht="12.75">
      <c r="A72" s="1387"/>
      <c r="B72" s="1406"/>
      <c r="C72" s="1407"/>
      <c r="D72" s="1408"/>
      <c r="E72" s="1401"/>
      <c r="F72" s="1401"/>
      <c r="G72" s="1401"/>
      <c r="H72" s="1401"/>
      <c r="I72" s="1401"/>
      <c r="J72" s="1401"/>
    </row>
    <row r="73" spans="1:10" ht="12.75">
      <c r="A73" s="1402" t="s">
        <v>653</v>
      </c>
      <c r="B73" s="1403" t="s">
        <v>324</v>
      </c>
      <c r="C73" s="1404"/>
      <c r="D73" s="1405"/>
      <c r="E73" s="1400">
        <f>SUM(F73+G73+H73+I73)</f>
        <v>160</v>
      </c>
      <c r="F73" s="1400">
        <v>114</v>
      </c>
      <c r="G73" s="1400">
        <v>16</v>
      </c>
      <c r="H73" s="1400">
        <v>26</v>
      </c>
      <c r="I73" s="1400">
        <v>4</v>
      </c>
      <c r="J73" s="1400"/>
    </row>
    <row r="74" spans="1:10" ht="12" customHeight="1">
      <c r="A74" s="1387"/>
      <c r="B74" s="1406"/>
      <c r="C74" s="1407"/>
      <c r="D74" s="1408"/>
      <c r="E74" s="1401"/>
      <c r="F74" s="1401"/>
      <c r="G74" s="1401"/>
      <c r="H74" s="1401"/>
      <c r="I74" s="1401"/>
      <c r="J74" s="1401"/>
    </row>
    <row r="75" spans="1:10" ht="12.75">
      <c r="A75" s="1402" t="s">
        <v>654</v>
      </c>
      <c r="B75" s="1403" t="s">
        <v>655</v>
      </c>
      <c r="C75" s="1404"/>
      <c r="D75" s="1405"/>
      <c r="E75" s="1400">
        <f>SUM(F75+G75+H75+I75)</f>
        <v>23</v>
      </c>
      <c r="F75" s="1400">
        <v>23</v>
      </c>
      <c r="G75" s="1400"/>
      <c r="H75" s="1400"/>
      <c r="I75" s="1400"/>
      <c r="J75" s="1400"/>
    </row>
    <row r="76" spans="1:10" ht="11.25" customHeight="1">
      <c r="A76" s="1387"/>
      <c r="B76" s="1406"/>
      <c r="C76" s="1407"/>
      <c r="D76" s="1408"/>
      <c r="E76" s="1401"/>
      <c r="F76" s="1401"/>
      <c r="G76" s="1401"/>
      <c r="H76" s="1401"/>
      <c r="I76" s="1401"/>
      <c r="J76" s="1401"/>
    </row>
    <row r="77" spans="1:10" ht="11.25" customHeight="1">
      <c r="A77" s="1402" t="s">
        <v>656</v>
      </c>
      <c r="B77" s="1403" t="s">
        <v>657</v>
      </c>
      <c r="C77" s="1404"/>
      <c r="D77" s="1405"/>
      <c r="E77" s="1400">
        <f>SUM(F77+G77+H77+I77)</f>
        <v>10</v>
      </c>
      <c r="F77" s="1400">
        <v>10</v>
      </c>
      <c r="G77" s="941"/>
      <c r="H77" s="941"/>
      <c r="I77" s="941"/>
      <c r="J77" s="941"/>
    </row>
    <row r="78" spans="1:10" ht="11.25" customHeight="1">
      <c r="A78" s="1387"/>
      <c r="B78" s="1406"/>
      <c r="C78" s="1407"/>
      <c r="D78" s="1408"/>
      <c r="E78" s="1401"/>
      <c r="F78" s="1401"/>
      <c r="G78" s="941"/>
      <c r="H78" s="941"/>
      <c r="I78" s="941"/>
      <c r="J78" s="941"/>
    </row>
    <row r="79" spans="1:10" ht="12" customHeight="1">
      <c r="A79" s="1386"/>
      <c r="B79" s="1394" t="s">
        <v>658</v>
      </c>
      <c r="C79" s="1395"/>
      <c r="D79" s="1396"/>
      <c r="E79" s="1384">
        <f>SUM(E51:E78)</f>
        <v>703</v>
      </c>
      <c r="F79" s="1384">
        <f>SUM(F51:F78)</f>
        <v>593</v>
      </c>
      <c r="G79" s="1384">
        <f>SUM(G51:G76)</f>
        <v>17</v>
      </c>
      <c r="H79" s="1384">
        <f>SUM(H51:H76)</f>
        <v>89</v>
      </c>
      <c r="I79" s="1384">
        <f>SUM(I51:I76)</f>
        <v>4</v>
      </c>
      <c r="J79" s="1384">
        <f>SUM(J51:J76)</f>
        <v>0</v>
      </c>
    </row>
    <row r="80" spans="1:10" ht="12" customHeight="1">
      <c r="A80" s="1387"/>
      <c r="B80" s="1397"/>
      <c r="C80" s="1398"/>
      <c r="D80" s="1399"/>
      <c r="E80" s="1385"/>
      <c r="F80" s="1385"/>
      <c r="G80" s="1385"/>
      <c r="H80" s="1385"/>
      <c r="I80" s="1385"/>
      <c r="J80" s="1385"/>
    </row>
    <row r="81" spans="1:10" ht="12" customHeight="1">
      <c r="A81" s="1386"/>
      <c r="B81" s="1388" t="s">
        <v>659</v>
      </c>
      <c r="C81" s="1389"/>
      <c r="D81" s="1390"/>
      <c r="E81" s="1384">
        <f aca="true" t="shared" si="0" ref="E81:J81">SUM(E79+E42+E40)</f>
        <v>1017</v>
      </c>
      <c r="F81" s="1384">
        <f t="shared" si="0"/>
        <v>875</v>
      </c>
      <c r="G81" s="1384">
        <f t="shared" si="0"/>
        <v>18</v>
      </c>
      <c r="H81" s="1384">
        <f t="shared" si="0"/>
        <v>119</v>
      </c>
      <c r="I81" s="1384">
        <f t="shared" si="0"/>
        <v>5</v>
      </c>
      <c r="J81" s="1384">
        <f t="shared" si="0"/>
        <v>0</v>
      </c>
    </row>
    <row r="82" spans="1:10" ht="12" customHeight="1">
      <c r="A82" s="1387"/>
      <c r="B82" s="1391"/>
      <c r="C82" s="1392"/>
      <c r="D82" s="1393"/>
      <c r="E82" s="1385"/>
      <c r="F82" s="1385"/>
      <c r="G82" s="1385"/>
      <c r="H82" s="1385"/>
      <c r="I82" s="1385"/>
      <c r="J82" s="1385"/>
    </row>
    <row r="83" ht="12.75">
      <c r="J83" s="933"/>
    </row>
    <row r="84" ht="12.75">
      <c r="J84" s="933"/>
    </row>
    <row r="85" ht="12.75">
      <c r="J85" s="933"/>
    </row>
    <row r="86" ht="12.75">
      <c r="J86" s="933"/>
    </row>
  </sheetData>
  <sheetProtection/>
  <mergeCells count="265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20:A21"/>
    <mergeCell ref="B20:D21"/>
    <mergeCell ref="E20:E21"/>
    <mergeCell ref="F20:F21"/>
    <mergeCell ref="G20:G21"/>
    <mergeCell ref="H20:H21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I73:I74"/>
    <mergeCell ref="J73:J74"/>
    <mergeCell ref="A71:A72"/>
    <mergeCell ref="B71:D72"/>
    <mergeCell ref="E71:E72"/>
    <mergeCell ref="F71:F72"/>
    <mergeCell ref="G71:G72"/>
    <mergeCell ref="H71:H72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A79:A80"/>
    <mergeCell ref="B79:D80"/>
    <mergeCell ref="E79:E80"/>
    <mergeCell ref="F79:F80"/>
    <mergeCell ref="G79:G80"/>
    <mergeCell ref="H79:H80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6.875" style="942" customWidth="1"/>
    <col min="2" max="4" width="9.125" style="942" customWidth="1"/>
    <col min="5" max="5" width="23.625" style="942" customWidth="1"/>
    <col min="6" max="6" width="20.875" style="942" customWidth="1"/>
    <col min="7" max="7" width="18.375" style="942" customWidth="1"/>
    <col min="8" max="8" width="21.125" style="942" customWidth="1"/>
    <col min="9" max="9" width="18.375" style="942" customWidth="1"/>
    <col min="10" max="16384" width="9.125" style="942" customWidth="1"/>
  </cols>
  <sheetData>
    <row r="2" spans="1:9" ht="15.75">
      <c r="A2" s="1442" t="s">
        <v>660</v>
      </c>
      <c r="B2" s="1442"/>
      <c r="C2" s="1442"/>
      <c r="D2" s="1442"/>
      <c r="E2" s="1442"/>
      <c r="F2" s="1443"/>
      <c r="G2" s="1443"/>
      <c r="H2" s="1443"/>
      <c r="I2" s="1443"/>
    </row>
    <row r="3" spans="1:9" ht="18" customHeight="1">
      <c r="A3" s="1442" t="s">
        <v>1069</v>
      </c>
      <c r="B3" s="1442"/>
      <c r="C3" s="1442"/>
      <c r="D3" s="1442"/>
      <c r="E3" s="1442"/>
      <c r="F3" s="1443"/>
      <c r="G3" s="1443"/>
      <c r="H3" s="1443"/>
      <c r="I3" s="1443"/>
    </row>
    <row r="7" spans="1:9" ht="16.5" customHeight="1">
      <c r="A7" s="943"/>
      <c r="B7" s="943"/>
      <c r="C7" s="943"/>
      <c r="D7" s="943"/>
      <c r="E7" s="943"/>
      <c r="F7" s="943"/>
      <c r="G7" s="943"/>
      <c r="H7" s="943"/>
      <c r="I7" s="944" t="s">
        <v>191</v>
      </c>
    </row>
    <row r="8" spans="1:9" ht="21.75" customHeight="1">
      <c r="A8" s="1444" t="s">
        <v>293</v>
      </c>
      <c r="B8" s="1446" t="s">
        <v>661</v>
      </c>
      <c r="C8" s="1446"/>
      <c r="D8" s="1446"/>
      <c r="E8" s="1446"/>
      <c r="F8" s="1448" t="s">
        <v>662</v>
      </c>
      <c r="G8" s="1449"/>
      <c r="H8" s="1448" t="s">
        <v>663</v>
      </c>
      <c r="I8" s="1449"/>
    </row>
    <row r="9" spans="1:9" ht="27" customHeight="1">
      <c r="A9" s="1445"/>
      <c r="B9" s="1447"/>
      <c r="C9" s="1447"/>
      <c r="D9" s="1447"/>
      <c r="E9" s="1447"/>
      <c r="F9" s="945" t="s">
        <v>664</v>
      </c>
      <c r="G9" s="945" t="s">
        <v>665</v>
      </c>
      <c r="H9" s="945" t="s">
        <v>664</v>
      </c>
      <c r="I9" s="945" t="s">
        <v>665</v>
      </c>
    </row>
    <row r="10" spans="1:9" ht="21.75" customHeight="1">
      <c r="A10" s="946" t="s">
        <v>172</v>
      </c>
      <c r="B10" s="947" t="s">
        <v>666</v>
      </c>
      <c r="C10" s="948"/>
      <c r="D10" s="948"/>
      <c r="E10" s="948"/>
      <c r="F10" s="949" t="s">
        <v>667</v>
      </c>
      <c r="G10" s="950">
        <v>500</v>
      </c>
      <c r="H10" s="951" t="s">
        <v>668</v>
      </c>
      <c r="I10" s="950">
        <v>380000</v>
      </c>
    </row>
    <row r="11" spans="1:9" ht="21.75" customHeight="1">
      <c r="A11" s="946" t="s">
        <v>173</v>
      </c>
      <c r="B11" s="947" t="s">
        <v>669</v>
      </c>
      <c r="C11" s="948"/>
      <c r="D11" s="948"/>
      <c r="E11" s="948"/>
      <c r="F11" s="949" t="s">
        <v>667</v>
      </c>
      <c r="G11" s="950"/>
      <c r="H11" s="951" t="s">
        <v>668</v>
      </c>
      <c r="I11" s="950">
        <v>135000</v>
      </c>
    </row>
    <row r="12" spans="1:9" ht="21.75" customHeight="1">
      <c r="A12" s="946" t="s">
        <v>174</v>
      </c>
      <c r="B12" s="947" t="s">
        <v>670</v>
      </c>
      <c r="C12" s="948"/>
      <c r="D12" s="948"/>
      <c r="E12" s="948"/>
      <c r="F12" s="951" t="s">
        <v>667</v>
      </c>
      <c r="G12" s="950">
        <v>50</v>
      </c>
      <c r="H12" s="951" t="s">
        <v>668</v>
      </c>
      <c r="I12" s="950">
        <v>3800</v>
      </c>
    </row>
    <row r="13" spans="1:9" ht="21.75" customHeight="1">
      <c r="A13" s="946" t="s">
        <v>175</v>
      </c>
      <c r="B13" s="948" t="s">
        <v>671</v>
      </c>
      <c r="C13" s="948"/>
      <c r="D13" s="948"/>
      <c r="E13" s="948"/>
      <c r="F13" s="949"/>
      <c r="G13" s="950"/>
      <c r="H13" s="951" t="s">
        <v>672</v>
      </c>
      <c r="I13" s="950">
        <v>130</v>
      </c>
    </row>
    <row r="14" spans="1:9" ht="21.75" customHeight="1">
      <c r="A14" s="946" t="s">
        <v>176</v>
      </c>
      <c r="B14" s="948" t="s">
        <v>673</v>
      </c>
      <c r="C14" s="948"/>
      <c r="D14" s="948"/>
      <c r="E14" s="948"/>
      <c r="F14" s="949"/>
      <c r="G14" s="950"/>
      <c r="H14" s="951" t="s">
        <v>672</v>
      </c>
      <c r="I14" s="950">
        <v>4546</v>
      </c>
    </row>
    <row r="15" spans="1:9" ht="21.75" customHeight="1">
      <c r="A15" s="952" t="s">
        <v>47</v>
      </c>
      <c r="B15" s="953" t="s">
        <v>674</v>
      </c>
      <c r="C15" s="953"/>
      <c r="D15" s="953"/>
      <c r="E15" s="953"/>
      <c r="F15" s="954"/>
      <c r="G15" s="955"/>
      <c r="H15" s="956" t="s">
        <v>675</v>
      </c>
      <c r="I15" s="955">
        <v>39952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3"/>
  <sheetViews>
    <sheetView zoomScale="75" zoomScaleNormal="75" zoomScaleSheetLayoutView="75" zoomScalePageLayoutView="0" workbookViewId="0" topLeftCell="A130">
      <selection activeCell="G145" sqref="G145"/>
    </sheetView>
  </sheetViews>
  <sheetFormatPr defaultColWidth="9.00390625" defaultRowHeight="12.75"/>
  <cols>
    <col min="1" max="1" width="4.625" style="957" customWidth="1"/>
    <col min="2" max="2" width="61.625" style="957" bestFit="1" customWidth="1"/>
    <col min="3" max="3" width="17.125" style="957" bestFit="1" customWidth="1"/>
    <col min="4" max="4" width="12.875" style="957" bestFit="1" customWidth="1"/>
    <col min="5" max="5" width="15.875" style="957" customWidth="1"/>
    <col min="6" max="6" width="12.375" style="957" customWidth="1"/>
    <col min="7" max="7" width="12.375" style="957" bestFit="1" customWidth="1"/>
    <col min="8" max="8" width="10.375" style="957" bestFit="1" customWidth="1"/>
    <col min="9" max="9" width="12.125" style="957" bestFit="1" customWidth="1"/>
    <col min="10" max="10" width="10.375" style="957" bestFit="1" customWidth="1"/>
    <col min="11" max="12" width="13.875" style="957" bestFit="1" customWidth="1"/>
    <col min="13" max="13" width="13.625" style="957" bestFit="1" customWidth="1"/>
    <col min="14" max="14" width="14.75390625" style="957" bestFit="1" customWidth="1"/>
    <col min="15" max="15" width="11.625" style="957" bestFit="1" customWidth="1"/>
    <col min="16" max="16384" width="9.125" style="957" customWidth="1"/>
  </cols>
  <sheetData>
    <row r="3" spans="1:14" ht="18.75" customHeight="1">
      <c r="A3" s="1460" t="s">
        <v>676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</row>
    <row r="4" spans="1:14" ht="15.75">
      <c r="A4" s="958"/>
      <c r="B4" s="1461" t="s">
        <v>677</v>
      </c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958"/>
    </row>
    <row r="5" spans="1:14" ht="15.75">
      <c r="A5" s="958"/>
      <c r="B5" s="1461" t="s">
        <v>1081</v>
      </c>
      <c r="C5" s="1461"/>
      <c r="D5" s="1461"/>
      <c r="E5" s="1461"/>
      <c r="F5" s="1461"/>
      <c r="G5" s="1461"/>
      <c r="H5" s="1461"/>
      <c r="I5" s="1461"/>
      <c r="J5" s="1461"/>
      <c r="K5" s="1461"/>
      <c r="L5" s="1461"/>
      <c r="M5" s="1461"/>
      <c r="N5" s="958"/>
    </row>
    <row r="6" spans="2:13" ht="18.75">
      <c r="B6" s="959"/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</row>
    <row r="7" ht="12.75">
      <c r="N7" s="960" t="s">
        <v>385</v>
      </c>
    </row>
    <row r="8" spans="1:14" ht="32.25" customHeight="1">
      <c r="A8" s="961"/>
      <c r="B8" s="1462" t="s">
        <v>678</v>
      </c>
      <c r="C8" s="1464" t="s">
        <v>1240</v>
      </c>
      <c r="D8" s="1466" t="s">
        <v>679</v>
      </c>
      <c r="E8" s="1462" t="s">
        <v>680</v>
      </c>
      <c r="F8" s="1450" t="s">
        <v>681</v>
      </c>
      <c r="G8" s="962" t="s">
        <v>682</v>
      </c>
      <c r="H8" s="1452" t="s">
        <v>683</v>
      </c>
      <c r="I8" s="1453"/>
      <c r="J8" s="1454" t="s">
        <v>684</v>
      </c>
      <c r="K8" s="1454"/>
      <c r="L8" s="1455" t="s">
        <v>1241</v>
      </c>
      <c r="M8" s="1457" t="s">
        <v>685</v>
      </c>
      <c r="N8" s="1458" t="s">
        <v>686</v>
      </c>
    </row>
    <row r="9" spans="1:14" ht="52.5" customHeight="1">
      <c r="A9" s="963"/>
      <c r="B9" s="1463"/>
      <c r="C9" s="1465"/>
      <c r="D9" s="1467"/>
      <c r="E9" s="1463"/>
      <c r="F9" s="1451"/>
      <c r="G9" s="962" t="s">
        <v>687</v>
      </c>
      <c r="H9" s="964" t="s">
        <v>688</v>
      </c>
      <c r="I9" s="964" t="s">
        <v>689</v>
      </c>
      <c r="J9" s="964" t="s">
        <v>688</v>
      </c>
      <c r="K9" s="964" t="s">
        <v>690</v>
      </c>
      <c r="L9" s="1456"/>
      <c r="M9" s="1269"/>
      <c r="N9" s="1459"/>
    </row>
    <row r="10" spans="1:14" ht="21" customHeight="1">
      <c r="A10" s="965" t="s">
        <v>172</v>
      </c>
      <c r="B10" s="966" t="s">
        <v>691</v>
      </c>
      <c r="C10" s="967">
        <f>SUM(C11:C29)</f>
        <v>1212198</v>
      </c>
      <c r="D10" s="968">
        <f>SUM(E10:M10)</f>
        <v>1212198</v>
      </c>
      <c r="E10" s="969"/>
      <c r="F10" s="969">
        <v>543916</v>
      </c>
      <c r="G10" s="969"/>
      <c r="H10" s="969"/>
      <c r="I10" s="969"/>
      <c r="J10" s="969"/>
      <c r="K10" s="969"/>
      <c r="L10" s="969">
        <v>668282</v>
      </c>
      <c r="M10" s="969"/>
      <c r="N10" s="970"/>
    </row>
    <row r="11" spans="1:14" ht="21" customHeight="1">
      <c r="A11" s="965"/>
      <c r="B11" s="975" t="s">
        <v>1111</v>
      </c>
      <c r="C11" s="1100">
        <f>SUM('3c.m.'!G25)</f>
        <v>3000</v>
      </c>
      <c r="D11" s="969"/>
      <c r="E11" s="969"/>
      <c r="F11" s="969"/>
      <c r="G11" s="969"/>
      <c r="H11" s="969"/>
      <c r="I11" s="969"/>
      <c r="J11" s="969"/>
      <c r="K11" s="969"/>
      <c r="L11" s="969"/>
      <c r="M11" s="969"/>
      <c r="N11" s="970"/>
    </row>
    <row r="12" spans="1:14" ht="21" customHeight="1">
      <c r="A12" s="965"/>
      <c r="B12" s="971" t="s">
        <v>1228</v>
      </c>
      <c r="C12" s="1101">
        <f>SUM('3c.m.'!G42)</f>
        <v>3206</v>
      </c>
      <c r="D12" s="972"/>
      <c r="E12" s="973"/>
      <c r="F12" s="973"/>
      <c r="G12" s="973"/>
      <c r="H12" s="973"/>
      <c r="I12" s="973"/>
      <c r="J12" s="973"/>
      <c r="K12" s="973"/>
      <c r="L12" s="973"/>
      <c r="M12" s="974"/>
      <c r="N12" s="970"/>
    </row>
    <row r="13" spans="1:14" ht="21" customHeight="1">
      <c r="A13" s="965"/>
      <c r="B13" s="975" t="s">
        <v>692</v>
      </c>
      <c r="C13" s="1101">
        <f>SUM('3c.m.'!G50)</f>
        <v>7738</v>
      </c>
      <c r="D13" s="972"/>
      <c r="E13" s="973"/>
      <c r="F13" s="973"/>
      <c r="G13" s="973"/>
      <c r="H13" s="973"/>
      <c r="I13" s="973"/>
      <c r="J13" s="973"/>
      <c r="K13" s="973"/>
      <c r="L13" s="973"/>
      <c r="M13" s="974"/>
      <c r="N13" s="970"/>
    </row>
    <row r="14" spans="1:14" ht="21" customHeight="1">
      <c r="A14" s="965"/>
      <c r="B14" s="975" t="s">
        <v>1141</v>
      </c>
      <c r="C14" s="1101">
        <f>SUM('3c.m.'!G29)</f>
        <v>15000</v>
      </c>
      <c r="D14" s="972"/>
      <c r="E14" s="973"/>
      <c r="F14" s="973"/>
      <c r="G14" s="973"/>
      <c r="H14" s="973"/>
      <c r="I14" s="973"/>
      <c r="J14" s="973"/>
      <c r="K14" s="973"/>
      <c r="L14" s="973"/>
      <c r="M14" s="974"/>
      <c r="N14" s="970"/>
    </row>
    <row r="15" spans="1:14" ht="21" customHeight="1">
      <c r="A15" s="965"/>
      <c r="B15" s="975" t="s">
        <v>693</v>
      </c>
      <c r="C15" s="1101">
        <f>SUM('3c.m.'!G77)</f>
        <v>55856</v>
      </c>
      <c r="D15" s="972"/>
      <c r="E15" s="973"/>
      <c r="F15" s="973"/>
      <c r="G15" s="973"/>
      <c r="H15" s="973"/>
      <c r="I15" s="973"/>
      <c r="J15" s="973"/>
      <c r="K15" s="973"/>
      <c r="L15" s="973"/>
      <c r="M15" s="974"/>
      <c r="N15" s="970"/>
    </row>
    <row r="16" spans="1:14" ht="21" customHeight="1">
      <c r="A16" s="965"/>
      <c r="B16" s="976" t="s">
        <v>694</v>
      </c>
      <c r="C16" s="1101">
        <f>SUM('3c.m.'!G220)</f>
        <v>8000</v>
      </c>
      <c r="D16" s="972"/>
      <c r="E16" s="973"/>
      <c r="F16" s="973"/>
      <c r="G16" s="973"/>
      <c r="H16" s="973"/>
      <c r="I16" s="973"/>
      <c r="J16" s="973"/>
      <c r="K16" s="973"/>
      <c r="L16" s="973"/>
      <c r="M16" s="974"/>
      <c r="N16" s="970"/>
    </row>
    <row r="17" spans="1:14" ht="21" customHeight="1">
      <c r="A17" s="965"/>
      <c r="B17" s="975" t="s">
        <v>695</v>
      </c>
      <c r="C17" s="1101">
        <f>SUM('3c.m.'!G237)</f>
        <v>42811</v>
      </c>
      <c r="D17" s="972"/>
      <c r="E17" s="973"/>
      <c r="F17" s="973"/>
      <c r="G17" s="973"/>
      <c r="H17" s="973"/>
      <c r="I17" s="973"/>
      <c r="J17" s="973"/>
      <c r="K17" s="973"/>
      <c r="L17" s="973"/>
      <c r="M17" s="974"/>
      <c r="N17" s="970"/>
    </row>
    <row r="18" spans="1:14" ht="21" customHeight="1">
      <c r="A18" s="965"/>
      <c r="B18" s="975" t="s">
        <v>696</v>
      </c>
      <c r="C18" s="1101">
        <f>SUM('3c.m.'!G311)</f>
        <v>458997</v>
      </c>
      <c r="D18" s="972"/>
      <c r="E18" s="973"/>
      <c r="F18" s="973"/>
      <c r="G18" s="973"/>
      <c r="H18" s="973"/>
      <c r="I18" s="973"/>
      <c r="J18" s="973"/>
      <c r="K18" s="973"/>
      <c r="L18" s="973"/>
      <c r="M18" s="974"/>
      <c r="N18" s="970"/>
    </row>
    <row r="19" spans="1:14" ht="21" customHeight="1">
      <c r="A19" s="965"/>
      <c r="B19" s="975" t="s">
        <v>1166</v>
      </c>
      <c r="C19" s="1101">
        <f>SUM('4.mell.'!G12)</f>
        <v>300000</v>
      </c>
      <c r="D19" s="972"/>
      <c r="E19" s="973"/>
      <c r="F19" s="973"/>
      <c r="G19" s="973"/>
      <c r="H19" s="973"/>
      <c r="I19" s="973"/>
      <c r="J19" s="973"/>
      <c r="K19" s="973"/>
      <c r="L19" s="973"/>
      <c r="M19" s="974"/>
      <c r="N19" s="970"/>
    </row>
    <row r="20" spans="1:14" ht="21" customHeight="1">
      <c r="A20" s="965"/>
      <c r="B20" s="975" t="s">
        <v>1221</v>
      </c>
      <c r="C20" s="1101">
        <f>SUM('5.mell. '!G32)</f>
        <v>6000</v>
      </c>
      <c r="D20" s="972"/>
      <c r="E20" s="973"/>
      <c r="F20" s="973"/>
      <c r="G20" s="973"/>
      <c r="H20" s="973"/>
      <c r="I20" s="973"/>
      <c r="J20" s="973"/>
      <c r="K20" s="973"/>
      <c r="L20" s="973"/>
      <c r="M20" s="974"/>
      <c r="N20" s="970"/>
    </row>
    <row r="21" spans="1:14" ht="25.5" customHeight="1">
      <c r="A21" s="965"/>
      <c r="B21" s="1098" t="s">
        <v>1112</v>
      </c>
      <c r="C21" s="1101">
        <f>SUM('4.mell.'!G16)</f>
        <v>69886</v>
      </c>
      <c r="D21" s="972"/>
      <c r="E21" s="973"/>
      <c r="F21" s="973"/>
      <c r="G21" s="973"/>
      <c r="H21" s="973"/>
      <c r="I21" s="973"/>
      <c r="J21" s="973"/>
      <c r="K21" s="973"/>
      <c r="L21" s="973"/>
      <c r="M21" s="974"/>
      <c r="N21" s="970"/>
    </row>
    <row r="22" spans="1:14" ht="25.5" customHeight="1">
      <c r="A22" s="965"/>
      <c r="B22" s="1098" t="s">
        <v>1143</v>
      </c>
      <c r="C22" s="1101">
        <f>SUM('4.mell.'!G20)</f>
        <v>54716</v>
      </c>
      <c r="D22" s="972"/>
      <c r="E22" s="973"/>
      <c r="F22" s="973"/>
      <c r="G22" s="973"/>
      <c r="H22" s="973"/>
      <c r="I22" s="973"/>
      <c r="J22" s="973"/>
      <c r="K22" s="973"/>
      <c r="L22" s="973"/>
      <c r="M22" s="974"/>
      <c r="N22" s="970"/>
    </row>
    <row r="23" spans="1:14" ht="25.5" customHeight="1">
      <c r="A23" s="965"/>
      <c r="B23" s="1098" t="s">
        <v>1164</v>
      </c>
      <c r="C23" s="1101">
        <f>SUM('4.mell.'!G21)</f>
        <v>100000</v>
      </c>
      <c r="D23" s="972"/>
      <c r="E23" s="973"/>
      <c r="F23" s="973"/>
      <c r="G23" s="973"/>
      <c r="H23" s="973"/>
      <c r="I23" s="973"/>
      <c r="J23" s="973"/>
      <c r="K23" s="973"/>
      <c r="L23" s="973"/>
      <c r="M23" s="974"/>
      <c r="N23" s="970"/>
    </row>
    <row r="24" spans="1:14" ht="21" customHeight="1">
      <c r="A24" s="965"/>
      <c r="B24" s="975" t="s">
        <v>697</v>
      </c>
      <c r="C24" s="1101">
        <f>SUM('5.mell. '!G10)</f>
        <v>4000</v>
      </c>
      <c r="D24" s="972"/>
      <c r="E24" s="973"/>
      <c r="F24" s="973"/>
      <c r="G24" s="973"/>
      <c r="H24" s="973"/>
      <c r="I24" s="973"/>
      <c r="J24" s="973"/>
      <c r="K24" s="973"/>
      <c r="L24" s="973"/>
      <c r="M24" s="974"/>
      <c r="N24" s="970"/>
    </row>
    <row r="25" spans="1:14" ht="21" customHeight="1">
      <c r="A25" s="965"/>
      <c r="B25" s="975" t="s">
        <v>698</v>
      </c>
      <c r="C25" s="1101">
        <f>SUM('5.mell. '!G25)</f>
        <v>16988</v>
      </c>
      <c r="D25" s="972"/>
      <c r="E25" s="973"/>
      <c r="F25" s="973"/>
      <c r="G25" s="973"/>
      <c r="H25" s="973"/>
      <c r="I25" s="973"/>
      <c r="J25" s="973"/>
      <c r="K25" s="973"/>
      <c r="L25" s="973"/>
      <c r="M25" s="974"/>
      <c r="N25" s="970"/>
    </row>
    <row r="26" spans="1:14" ht="21" customHeight="1">
      <c r="A26" s="965"/>
      <c r="B26" s="975" t="s">
        <v>1147</v>
      </c>
      <c r="C26" s="1101">
        <f>SUM('5.mell. '!G26)</f>
        <v>8000</v>
      </c>
      <c r="D26" s="972"/>
      <c r="E26" s="973"/>
      <c r="F26" s="973"/>
      <c r="G26" s="973"/>
      <c r="H26" s="973"/>
      <c r="I26" s="973"/>
      <c r="J26" s="973"/>
      <c r="K26" s="973"/>
      <c r="L26" s="973"/>
      <c r="M26" s="974"/>
      <c r="N26" s="970"/>
    </row>
    <row r="27" spans="1:14" ht="21" customHeight="1">
      <c r="A27" s="965"/>
      <c r="B27" s="975" t="s">
        <v>1170</v>
      </c>
      <c r="C27" s="1101">
        <f>SUM('5.mell. '!G42)</f>
        <v>5000</v>
      </c>
      <c r="D27" s="972"/>
      <c r="E27" s="973"/>
      <c r="F27" s="973"/>
      <c r="G27" s="973"/>
      <c r="H27" s="973"/>
      <c r="I27" s="973"/>
      <c r="J27" s="973"/>
      <c r="K27" s="973"/>
      <c r="L27" s="973"/>
      <c r="M27" s="974"/>
      <c r="N27" s="970"/>
    </row>
    <row r="28" spans="1:14" ht="21" customHeight="1">
      <c r="A28" s="965"/>
      <c r="B28" s="975" t="s">
        <v>1171</v>
      </c>
      <c r="C28" s="1101">
        <f>SUM('5.mell. '!G43)</f>
        <v>8000</v>
      </c>
      <c r="D28" s="972"/>
      <c r="E28" s="973"/>
      <c r="F28" s="973"/>
      <c r="G28" s="973"/>
      <c r="H28" s="973"/>
      <c r="I28" s="973"/>
      <c r="J28" s="973"/>
      <c r="K28" s="973"/>
      <c r="L28" s="973"/>
      <c r="M28" s="974"/>
      <c r="N28" s="970"/>
    </row>
    <row r="29" spans="1:14" ht="21" customHeight="1">
      <c r="A29" s="965"/>
      <c r="B29" s="975" t="s">
        <v>1176</v>
      </c>
      <c r="C29" s="1101">
        <f>SUM('5.mell. '!G44)</f>
        <v>45000</v>
      </c>
      <c r="D29" s="972"/>
      <c r="E29" s="973"/>
      <c r="F29" s="973"/>
      <c r="G29" s="973"/>
      <c r="H29" s="973"/>
      <c r="I29" s="973"/>
      <c r="J29" s="973"/>
      <c r="K29" s="973"/>
      <c r="L29" s="973"/>
      <c r="M29" s="974"/>
      <c r="N29" s="970"/>
    </row>
    <row r="30" spans="1:14" ht="21" customHeight="1">
      <c r="A30" s="965" t="s">
        <v>173</v>
      </c>
      <c r="B30" s="977" t="s">
        <v>699</v>
      </c>
      <c r="C30" s="1102">
        <f>SUM(C31)</f>
        <v>15000</v>
      </c>
      <c r="D30" s="968">
        <f>SUM(E30:N30)</f>
        <v>15000</v>
      </c>
      <c r="E30" s="968"/>
      <c r="F30" s="968">
        <v>15000</v>
      </c>
      <c r="G30" s="968"/>
      <c r="H30" s="968"/>
      <c r="I30" s="968"/>
      <c r="J30" s="968"/>
      <c r="K30" s="968"/>
      <c r="L30" s="968"/>
      <c r="M30" s="968"/>
      <c r="N30" s="970"/>
    </row>
    <row r="31" spans="1:14" ht="21" customHeight="1">
      <c r="A31" s="965"/>
      <c r="B31" s="978" t="s">
        <v>700</v>
      </c>
      <c r="C31" s="1103">
        <f>SUM('3d.m.'!G9)</f>
        <v>15000</v>
      </c>
      <c r="D31" s="979"/>
      <c r="E31" s="980"/>
      <c r="F31" s="980"/>
      <c r="G31" s="980"/>
      <c r="H31" s="980"/>
      <c r="I31" s="980"/>
      <c r="J31" s="980"/>
      <c r="K31" s="980"/>
      <c r="L31" s="980"/>
      <c r="M31" s="981"/>
      <c r="N31" s="970"/>
    </row>
    <row r="32" spans="1:14" ht="21" customHeight="1">
      <c r="A32" s="965" t="s">
        <v>174</v>
      </c>
      <c r="B32" s="977" t="s">
        <v>701</v>
      </c>
      <c r="C32" s="1102">
        <f>SUM(C33:C34)</f>
        <v>1373701</v>
      </c>
      <c r="D32" s="968">
        <f>SUM(E32:M32)</f>
        <v>1373701</v>
      </c>
      <c r="E32" s="980"/>
      <c r="F32" s="982">
        <v>147446</v>
      </c>
      <c r="G32" s="982">
        <v>1014099</v>
      </c>
      <c r="H32" s="980"/>
      <c r="I32" s="980"/>
      <c r="J32" s="980"/>
      <c r="K32" s="980"/>
      <c r="L32" s="982">
        <v>53824</v>
      </c>
      <c r="M32" s="981">
        <v>158332</v>
      </c>
      <c r="N32" s="970"/>
    </row>
    <row r="33" spans="1:14" ht="28.5" customHeight="1">
      <c r="A33" s="965"/>
      <c r="B33" s="983" t="s">
        <v>702</v>
      </c>
      <c r="C33" s="1103">
        <f>SUM('3c.m.'!G283)</f>
        <v>1214006</v>
      </c>
      <c r="D33" s="979"/>
      <c r="E33" s="980"/>
      <c r="F33" s="980"/>
      <c r="G33" s="980"/>
      <c r="H33" s="980"/>
      <c r="I33" s="980"/>
      <c r="J33" s="980"/>
      <c r="K33" s="980"/>
      <c r="L33" s="980"/>
      <c r="M33" s="981"/>
      <c r="N33" s="970"/>
    </row>
    <row r="34" spans="1:14" ht="28.5" customHeight="1">
      <c r="A34" s="965"/>
      <c r="B34" s="1120" t="s">
        <v>1122</v>
      </c>
      <c r="C34" s="1103">
        <f>SUM('3d.m.'!G16)</f>
        <v>159695</v>
      </c>
      <c r="D34" s="979"/>
      <c r="E34" s="980"/>
      <c r="F34" s="980"/>
      <c r="G34" s="980"/>
      <c r="H34" s="980"/>
      <c r="I34" s="980"/>
      <c r="J34" s="980"/>
      <c r="K34" s="980"/>
      <c r="L34" s="980"/>
      <c r="M34" s="981"/>
      <c r="N34" s="970"/>
    </row>
    <row r="35" spans="1:14" ht="21" customHeight="1">
      <c r="A35" s="965" t="s">
        <v>175</v>
      </c>
      <c r="B35" s="977" t="s">
        <v>703</v>
      </c>
      <c r="C35" s="1102">
        <f>SUM(C36)</f>
        <v>794325</v>
      </c>
      <c r="D35" s="968">
        <f>SUM(E35:N35)</f>
        <v>794325</v>
      </c>
      <c r="E35" s="982">
        <v>340</v>
      </c>
      <c r="F35" s="982">
        <v>717010</v>
      </c>
      <c r="G35" s="982"/>
      <c r="H35" s="980"/>
      <c r="I35" s="980"/>
      <c r="J35" s="980"/>
      <c r="K35" s="980"/>
      <c r="L35" s="982">
        <v>76975</v>
      </c>
      <c r="M35" s="981"/>
      <c r="N35" s="984"/>
    </row>
    <row r="36" spans="1:14" ht="21" customHeight="1">
      <c r="A36" s="965"/>
      <c r="B36" s="978" t="s">
        <v>704</v>
      </c>
      <c r="C36" s="1103">
        <f>SUM('3b.m.'!G48)</f>
        <v>794325</v>
      </c>
      <c r="D36" s="979"/>
      <c r="E36" s="980"/>
      <c r="F36" s="980"/>
      <c r="G36" s="980"/>
      <c r="H36" s="980"/>
      <c r="I36" s="980"/>
      <c r="J36" s="980"/>
      <c r="K36" s="980"/>
      <c r="L36" s="980"/>
      <c r="M36" s="981"/>
      <c r="N36" s="970"/>
    </row>
    <row r="37" spans="1:14" ht="21" customHeight="1">
      <c r="A37" s="965" t="s">
        <v>176</v>
      </c>
      <c r="B37" s="977" t="s">
        <v>705</v>
      </c>
      <c r="C37" s="1102">
        <f>SUM(C38:C50)</f>
        <v>1882510</v>
      </c>
      <c r="D37" s="968">
        <f>SUM(E37:N37)</f>
        <v>1882510</v>
      </c>
      <c r="E37" s="980"/>
      <c r="F37" s="982">
        <v>183329</v>
      </c>
      <c r="G37" s="982"/>
      <c r="H37" s="980"/>
      <c r="I37" s="982"/>
      <c r="J37" s="980"/>
      <c r="K37" s="982">
        <v>235000</v>
      </c>
      <c r="L37" s="982">
        <v>1464181</v>
      </c>
      <c r="M37" s="985"/>
      <c r="N37" s="986"/>
    </row>
    <row r="38" spans="1:14" ht="21" customHeight="1">
      <c r="A38" s="965"/>
      <c r="B38" s="978" t="s">
        <v>706</v>
      </c>
      <c r="C38" s="1103">
        <f>SUM('3c.m.'!G279)</f>
        <v>341754</v>
      </c>
      <c r="D38" s="979"/>
      <c r="E38" s="980"/>
      <c r="F38" s="980"/>
      <c r="G38" s="980"/>
      <c r="H38" s="980"/>
      <c r="I38" s="980"/>
      <c r="J38" s="980"/>
      <c r="K38" s="980"/>
      <c r="L38" s="980"/>
      <c r="M38" s="981"/>
      <c r="N38" s="970"/>
    </row>
    <row r="39" spans="1:14" ht="24.75" customHeight="1">
      <c r="A39" s="965"/>
      <c r="B39" s="983" t="s">
        <v>707</v>
      </c>
      <c r="C39" s="1103">
        <f>SUM('3c.m.'!G303)</f>
        <v>32340</v>
      </c>
      <c r="D39" s="979"/>
      <c r="E39" s="980"/>
      <c r="F39" s="980"/>
      <c r="G39" s="980"/>
      <c r="H39" s="980"/>
      <c r="I39" s="980"/>
      <c r="J39" s="980"/>
      <c r="K39" s="980"/>
      <c r="L39" s="980"/>
      <c r="M39" s="981"/>
      <c r="N39" s="970"/>
    </row>
    <row r="40" spans="1:14" ht="24.75" customHeight="1">
      <c r="A40" s="965"/>
      <c r="B40" s="983" t="s">
        <v>1106</v>
      </c>
      <c r="C40" s="1103">
        <f>SUM('4.mell.'!G26)</f>
        <v>675000</v>
      </c>
      <c r="D40" s="979"/>
      <c r="E40" s="980"/>
      <c r="F40" s="980"/>
      <c r="G40" s="980"/>
      <c r="H40" s="980"/>
      <c r="I40" s="980"/>
      <c r="J40" s="980"/>
      <c r="K40" s="980"/>
      <c r="L40" s="980"/>
      <c r="M40" s="981"/>
      <c r="N40" s="970"/>
    </row>
    <row r="41" spans="1:14" ht="21" customHeight="1">
      <c r="A41" s="965"/>
      <c r="B41" s="978" t="s">
        <v>708</v>
      </c>
      <c r="C41" s="1103">
        <f>SUM('4.mell.'!G27)</f>
        <v>144982</v>
      </c>
      <c r="D41" s="979"/>
      <c r="E41" s="980"/>
      <c r="F41" s="980"/>
      <c r="G41" s="980"/>
      <c r="H41" s="980"/>
      <c r="I41" s="980"/>
      <c r="J41" s="980"/>
      <c r="K41" s="980"/>
      <c r="L41" s="980"/>
      <c r="M41" s="981"/>
      <c r="N41" s="970"/>
    </row>
    <row r="42" spans="1:14" ht="21" customHeight="1">
      <c r="A42" s="965"/>
      <c r="B42" s="978" t="s">
        <v>709</v>
      </c>
      <c r="C42" s="1103">
        <f>SUM('4.mell.'!G28)</f>
        <v>266001</v>
      </c>
      <c r="D42" s="979"/>
      <c r="E42" s="980"/>
      <c r="F42" s="980"/>
      <c r="G42" s="980"/>
      <c r="H42" s="980"/>
      <c r="I42" s="980"/>
      <c r="J42" s="980"/>
      <c r="K42" s="980"/>
      <c r="L42" s="980"/>
      <c r="M42" s="981"/>
      <c r="N42" s="970"/>
    </row>
    <row r="43" spans="1:14" ht="21" customHeight="1">
      <c r="A43" s="965"/>
      <c r="B43" s="978" t="s">
        <v>710</v>
      </c>
      <c r="C43" s="1103">
        <f>SUM('4.mell.'!G32)</f>
        <v>70658</v>
      </c>
      <c r="D43" s="979"/>
      <c r="E43" s="980"/>
      <c r="F43" s="980"/>
      <c r="G43" s="980"/>
      <c r="H43" s="980"/>
      <c r="I43" s="980"/>
      <c r="J43" s="980"/>
      <c r="K43" s="980"/>
      <c r="L43" s="980"/>
      <c r="M43" s="981"/>
      <c r="N43" s="970"/>
    </row>
    <row r="44" spans="1:14" ht="21" customHeight="1">
      <c r="A44" s="965"/>
      <c r="B44" s="978" t="s">
        <v>1144</v>
      </c>
      <c r="C44" s="1103">
        <f>SUM('4.mell.'!G39)</f>
        <v>1143</v>
      </c>
      <c r="D44" s="979"/>
      <c r="E44" s="980"/>
      <c r="F44" s="980"/>
      <c r="G44" s="980"/>
      <c r="H44" s="980"/>
      <c r="I44" s="980"/>
      <c r="J44" s="980"/>
      <c r="K44" s="980"/>
      <c r="L44" s="980"/>
      <c r="M44" s="981"/>
      <c r="N44" s="970"/>
    </row>
    <row r="45" spans="1:14" ht="21" customHeight="1">
      <c r="A45" s="965"/>
      <c r="B45" s="978" t="s">
        <v>711</v>
      </c>
      <c r="C45" s="1103">
        <f>SUM('4.mell.'!G48)</f>
        <v>139544</v>
      </c>
      <c r="D45" s="979"/>
      <c r="E45" s="980"/>
      <c r="F45" s="980"/>
      <c r="G45" s="980"/>
      <c r="H45" s="980"/>
      <c r="I45" s="980"/>
      <c r="J45" s="980"/>
      <c r="K45" s="980"/>
      <c r="L45" s="980"/>
      <c r="M45" s="981"/>
      <c r="N45" s="970"/>
    </row>
    <row r="46" spans="1:14" ht="21" customHeight="1">
      <c r="A46" s="965"/>
      <c r="B46" s="978" t="s">
        <v>1145</v>
      </c>
      <c r="C46" s="1103">
        <f>SUM('4.mell.'!G52)</f>
        <v>4000</v>
      </c>
      <c r="D46" s="979"/>
      <c r="E46" s="980"/>
      <c r="F46" s="980"/>
      <c r="G46" s="980"/>
      <c r="H46" s="980"/>
      <c r="I46" s="980"/>
      <c r="J46" s="980"/>
      <c r="K46" s="980"/>
      <c r="L46" s="980"/>
      <c r="M46" s="981"/>
      <c r="N46" s="970"/>
    </row>
    <row r="47" spans="1:14" ht="21" customHeight="1">
      <c r="A47" s="965"/>
      <c r="B47" s="978" t="s">
        <v>712</v>
      </c>
      <c r="C47" s="1103">
        <f>SUM('4.mell.'!G53)</f>
        <v>70640</v>
      </c>
      <c r="D47" s="979"/>
      <c r="E47" s="980"/>
      <c r="F47" s="980"/>
      <c r="G47" s="980"/>
      <c r="H47" s="980"/>
      <c r="I47" s="980"/>
      <c r="J47" s="980"/>
      <c r="K47" s="980"/>
      <c r="L47" s="980"/>
      <c r="M47" s="981"/>
      <c r="N47" s="970"/>
    </row>
    <row r="48" spans="1:14" ht="21" customHeight="1">
      <c r="A48" s="965"/>
      <c r="B48" s="978" t="s">
        <v>713</v>
      </c>
      <c r="C48" s="1103">
        <f>SUM('5.mell. '!G13)</f>
        <v>23560</v>
      </c>
      <c r="D48" s="979"/>
      <c r="E48" s="980"/>
      <c r="F48" s="980"/>
      <c r="G48" s="980"/>
      <c r="H48" s="980"/>
      <c r="I48" s="980"/>
      <c r="J48" s="980"/>
      <c r="K48" s="980"/>
      <c r="L48" s="980"/>
      <c r="M48" s="981"/>
      <c r="N48" s="970"/>
    </row>
    <row r="49" spans="1:14" ht="21" customHeight="1">
      <c r="A49" s="965"/>
      <c r="B49" s="1097" t="s">
        <v>1110</v>
      </c>
      <c r="C49" s="1103">
        <f>SUM('5.mell. '!G31)</f>
        <v>6650</v>
      </c>
      <c r="D49" s="979"/>
      <c r="E49" s="980"/>
      <c r="F49" s="980"/>
      <c r="G49" s="980"/>
      <c r="H49" s="980"/>
      <c r="I49" s="980"/>
      <c r="J49" s="980"/>
      <c r="K49" s="980"/>
      <c r="L49" s="980"/>
      <c r="M49" s="981"/>
      <c r="N49" s="970"/>
    </row>
    <row r="50" spans="1:14" ht="21" customHeight="1">
      <c r="A50" s="965"/>
      <c r="B50" s="978" t="s">
        <v>714</v>
      </c>
      <c r="C50" s="1103">
        <f>SUM('5.mell. '!G35)</f>
        <v>106238</v>
      </c>
      <c r="D50" s="979"/>
      <c r="E50" s="980"/>
      <c r="F50" s="980"/>
      <c r="G50" s="980"/>
      <c r="H50" s="980"/>
      <c r="I50" s="980"/>
      <c r="J50" s="980"/>
      <c r="K50" s="980"/>
      <c r="L50" s="980"/>
      <c r="M50" s="981"/>
      <c r="N50" s="970"/>
    </row>
    <row r="51" spans="1:14" ht="21" customHeight="1">
      <c r="A51" s="965" t="s">
        <v>47</v>
      </c>
      <c r="B51" s="977" t="s">
        <v>715</v>
      </c>
      <c r="C51" s="1103"/>
      <c r="D51" s="968">
        <f>SUM(E51:M51)</f>
        <v>0</v>
      </c>
      <c r="E51" s="980"/>
      <c r="F51" s="980"/>
      <c r="G51" s="980"/>
      <c r="H51" s="980"/>
      <c r="I51" s="980"/>
      <c r="J51" s="980"/>
      <c r="K51" s="980"/>
      <c r="L51" s="980"/>
      <c r="M51" s="981"/>
      <c r="N51" s="970"/>
    </row>
    <row r="52" spans="1:14" ht="21" customHeight="1">
      <c r="A52" s="965" t="s">
        <v>386</v>
      </c>
      <c r="B52" s="977" t="s">
        <v>716</v>
      </c>
      <c r="C52" s="1103"/>
      <c r="D52" s="968">
        <f>SUM(E52:M52)</f>
        <v>0</v>
      </c>
      <c r="E52" s="980"/>
      <c r="F52" s="980"/>
      <c r="G52" s="980"/>
      <c r="H52" s="980"/>
      <c r="I52" s="980"/>
      <c r="J52" s="980"/>
      <c r="K52" s="980"/>
      <c r="L52" s="980"/>
      <c r="M52" s="981"/>
      <c r="N52" s="970"/>
    </row>
    <row r="53" spans="1:14" ht="21" customHeight="1">
      <c r="A53" s="965" t="s">
        <v>618</v>
      </c>
      <c r="B53" s="977" t="s">
        <v>717</v>
      </c>
      <c r="C53" s="1103"/>
      <c r="D53" s="968">
        <f>SUM(E53:M53)</f>
        <v>0</v>
      </c>
      <c r="E53" s="980"/>
      <c r="F53" s="980"/>
      <c r="G53" s="980"/>
      <c r="H53" s="980"/>
      <c r="I53" s="980"/>
      <c r="J53" s="980"/>
      <c r="K53" s="980"/>
      <c r="L53" s="980"/>
      <c r="M53" s="981"/>
      <c r="N53" s="970"/>
    </row>
    <row r="54" spans="1:14" ht="21" customHeight="1">
      <c r="A54" s="965" t="s">
        <v>620</v>
      </c>
      <c r="B54" s="977" t="s">
        <v>718</v>
      </c>
      <c r="C54" s="1102">
        <f>SUM(C55:C57)</f>
        <v>117005</v>
      </c>
      <c r="D54" s="968">
        <f>SUM(E54:M54)</f>
        <v>117005</v>
      </c>
      <c r="E54" s="982"/>
      <c r="F54" s="982"/>
      <c r="G54" s="982">
        <v>114690</v>
      </c>
      <c r="H54" s="980"/>
      <c r="I54" s="980"/>
      <c r="J54" s="980"/>
      <c r="K54" s="980"/>
      <c r="L54" s="982">
        <v>2315</v>
      </c>
      <c r="M54" s="981"/>
      <c r="N54" s="970"/>
    </row>
    <row r="55" spans="1:14" ht="21" customHeight="1">
      <c r="A55" s="965"/>
      <c r="B55" s="978" t="s">
        <v>719</v>
      </c>
      <c r="C55" s="1103">
        <f>SUM('3c.m.'!G338)</f>
        <v>13315</v>
      </c>
      <c r="D55" s="979"/>
      <c r="E55" s="980"/>
      <c r="F55" s="980"/>
      <c r="G55" s="980"/>
      <c r="H55" s="980"/>
      <c r="I55" s="980"/>
      <c r="J55" s="980"/>
      <c r="K55" s="980"/>
      <c r="L55" s="980"/>
      <c r="M55" s="981"/>
      <c r="N55" s="970"/>
    </row>
    <row r="56" spans="1:14" ht="21" customHeight="1">
      <c r="A56" s="965"/>
      <c r="B56" s="978" t="s">
        <v>720</v>
      </c>
      <c r="C56" s="1103">
        <f>SUM('3c.m.'!G544)</f>
        <v>400</v>
      </c>
      <c r="D56" s="979"/>
      <c r="E56" s="980"/>
      <c r="F56" s="980"/>
      <c r="G56" s="980"/>
      <c r="H56" s="980"/>
      <c r="I56" s="980"/>
      <c r="J56" s="980"/>
      <c r="K56" s="980"/>
      <c r="L56" s="980"/>
      <c r="M56" s="981"/>
      <c r="N56" s="970"/>
    </row>
    <row r="57" spans="1:14" ht="21" customHeight="1">
      <c r="A57" s="965"/>
      <c r="B57" s="978" t="s">
        <v>721</v>
      </c>
      <c r="C57" s="1103">
        <f>SUM('3c.m.'!G346)-'12.mell'!C17</f>
        <v>103290</v>
      </c>
      <c r="D57" s="979"/>
      <c r="E57" s="980"/>
      <c r="F57" s="980"/>
      <c r="G57" s="980"/>
      <c r="H57" s="980"/>
      <c r="I57" s="980"/>
      <c r="J57" s="980"/>
      <c r="K57" s="980"/>
      <c r="L57" s="980"/>
      <c r="M57" s="981"/>
      <c r="N57" s="970"/>
    </row>
    <row r="58" spans="1:14" ht="21" customHeight="1">
      <c r="A58" s="965" t="s">
        <v>622</v>
      </c>
      <c r="B58" s="977" t="s">
        <v>722</v>
      </c>
      <c r="C58" s="1102">
        <f>SUM(C59:C67)</f>
        <v>1155653</v>
      </c>
      <c r="D58" s="968">
        <f>SUM(E58:N58)</f>
        <v>1155653</v>
      </c>
      <c r="E58" s="982">
        <v>804110</v>
      </c>
      <c r="F58" s="982">
        <v>326330</v>
      </c>
      <c r="G58" s="968">
        <v>10072</v>
      </c>
      <c r="H58" s="982">
        <v>3256</v>
      </c>
      <c r="I58" s="982">
        <v>1885</v>
      </c>
      <c r="J58" s="982"/>
      <c r="K58" s="980"/>
      <c r="L58" s="982">
        <v>10000</v>
      </c>
      <c r="M58" s="981"/>
      <c r="N58" s="970"/>
    </row>
    <row r="59" spans="1:14" ht="21" customHeight="1">
      <c r="A59" s="965"/>
      <c r="B59" s="978" t="s">
        <v>723</v>
      </c>
      <c r="C59" s="1103">
        <f>SUM('2.mell'!G43)</f>
        <v>158693</v>
      </c>
      <c r="D59" s="968"/>
      <c r="E59" s="982"/>
      <c r="F59" s="980"/>
      <c r="G59" s="980"/>
      <c r="H59" s="980"/>
      <c r="I59" s="980"/>
      <c r="J59" s="980"/>
      <c r="K59" s="980"/>
      <c r="L59" s="980"/>
      <c r="M59" s="981"/>
      <c r="N59" s="970"/>
    </row>
    <row r="60" spans="1:14" ht="21" customHeight="1">
      <c r="A60" s="965"/>
      <c r="B60" s="978" t="s">
        <v>724</v>
      </c>
      <c r="C60" s="1103">
        <f>SUM('2.mell'!G79)</f>
        <v>154559</v>
      </c>
      <c r="D60" s="968"/>
      <c r="E60" s="982"/>
      <c r="F60" s="980"/>
      <c r="G60" s="980"/>
      <c r="H60" s="980"/>
      <c r="I60" s="980"/>
      <c r="J60" s="980"/>
      <c r="K60" s="980"/>
      <c r="L60" s="980"/>
      <c r="M60" s="981"/>
      <c r="N60" s="970"/>
    </row>
    <row r="61" spans="1:14" ht="21" customHeight="1">
      <c r="A61" s="965"/>
      <c r="B61" s="978" t="s">
        <v>725</v>
      </c>
      <c r="C61" s="1103">
        <f>SUM('2.mell'!G114)</f>
        <v>81590</v>
      </c>
      <c r="D61" s="968"/>
      <c r="E61" s="982"/>
      <c r="F61" s="980"/>
      <c r="G61" s="980"/>
      <c r="H61" s="980"/>
      <c r="I61" s="980"/>
      <c r="J61" s="980"/>
      <c r="K61" s="980"/>
      <c r="L61" s="980"/>
      <c r="M61" s="981"/>
      <c r="N61" s="970"/>
    </row>
    <row r="62" spans="1:14" ht="21" customHeight="1">
      <c r="A62" s="965"/>
      <c r="B62" s="978" t="s">
        <v>726</v>
      </c>
      <c r="C62" s="1103">
        <f>SUM('2.mell'!G185)</f>
        <v>139814</v>
      </c>
      <c r="D62" s="968"/>
      <c r="E62" s="982"/>
      <c r="F62" s="980"/>
      <c r="G62" s="980"/>
      <c r="H62" s="980"/>
      <c r="I62" s="980"/>
      <c r="J62" s="980"/>
      <c r="K62" s="980"/>
      <c r="L62" s="980"/>
      <c r="M62" s="981"/>
      <c r="N62" s="970"/>
    </row>
    <row r="63" spans="1:14" ht="21" customHeight="1">
      <c r="A63" s="965"/>
      <c r="B63" s="978" t="s">
        <v>727</v>
      </c>
      <c r="C63" s="1103">
        <f>SUM('2.mell'!G150)</f>
        <v>269401</v>
      </c>
      <c r="D63" s="968"/>
      <c r="E63" s="982"/>
      <c r="F63" s="980"/>
      <c r="G63" s="980"/>
      <c r="H63" s="980"/>
      <c r="I63" s="980"/>
      <c r="J63" s="980"/>
      <c r="K63" s="980"/>
      <c r="L63" s="980"/>
      <c r="M63" s="981"/>
      <c r="N63" s="970"/>
    </row>
    <row r="64" spans="1:14" ht="21" customHeight="1">
      <c r="A64" s="965"/>
      <c r="B64" s="978" t="s">
        <v>728</v>
      </c>
      <c r="C64" s="1103">
        <f>SUM('2.mell'!G218)</f>
        <v>115529</v>
      </c>
      <c r="D64" s="968"/>
      <c r="E64" s="982"/>
      <c r="F64" s="980"/>
      <c r="G64" s="980"/>
      <c r="H64" s="980"/>
      <c r="I64" s="980"/>
      <c r="J64" s="980"/>
      <c r="K64" s="980"/>
      <c r="L64" s="980"/>
      <c r="M64" s="981"/>
      <c r="N64" s="970"/>
    </row>
    <row r="65" spans="1:14" ht="21" customHeight="1">
      <c r="A65" s="965"/>
      <c r="B65" s="978" t="s">
        <v>729</v>
      </c>
      <c r="C65" s="1103">
        <f>SUM('2.mell'!G253)</f>
        <v>83784</v>
      </c>
      <c r="D65" s="968"/>
      <c r="E65" s="982"/>
      <c r="F65" s="980"/>
      <c r="G65" s="980"/>
      <c r="H65" s="980"/>
      <c r="I65" s="980"/>
      <c r="J65" s="980"/>
      <c r="K65" s="980"/>
      <c r="L65" s="980"/>
      <c r="M65" s="981"/>
      <c r="N65" s="970"/>
    </row>
    <row r="66" spans="1:14" ht="21" customHeight="1">
      <c r="A66" s="965"/>
      <c r="B66" s="978" t="s">
        <v>730</v>
      </c>
      <c r="C66" s="1103">
        <f>SUM('2.mell'!G288)</f>
        <v>77923</v>
      </c>
      <c r="D66" s="968"/>
      <c r="E66" s="982"/>
      <c r="F66" s="980"/>
      <c r="G66" s="980"/>
      <c r="H66" s="980"/>
      <c r="I66" s="980"/>
      <c r="J66" s="980"/>
      <c r="K66" s="980"/>
      <c r="L66" s="980"/>
      <c r="M66" s="981"/>
      <c r="N66" s="970"/>
    </row>
    <row r="67" spans="1:14" ht="21" customHeight="1">
      <c r="A67" s="965"/>
      <c r="B67" s="978" t="s">
        <v>731</v>
      </c>
      <c r="C67" s="1103">
        <f>SUM('2.mell'!G323)</f>
        <v>74360</v>
      </c>
      <c r="D67" s="968"/>
      <c r="E67" s="982"/>
      <c r="F67" s="980"/>
      <c r="G67" s="980"/>
      <c r="H67" s="980"/>
      <c r="I67" s="980"/>
      <c r="J67" s="980"/>
      <c r="K67" s="980"/>
      <c r="L67" s="980"/>
      <c r="M67" s="981"/>
      <c r="N67" s="970"/>
    </row>
    <row r="68" spans="1:14" ht="21" customHeight="1">
      <c r="A68" s="965" t="s">
        <v>624</v>
      </c>
      <c r="B68" s="977" t="s">
        <v>1082</v>
      </c>
      <c r="C68" s="1102">
        <f>SUM(C69:C80)</f>
        <v>70886</v>
      </c>
      <c r="D68" s="968">
        <f>SUM(E68:N68)</f>
        <v>70886</v>
      </c>
      <c r="E68" s="982"/>
      <c r="F68" s="982">
        <v>58542</v>
      </c>
      <c r="G68" s="982">
        <v>2839</v>
      </c>
      <c r="H68" s="982">
        <v>2577</v>
      </c>
      <c r="I68" s="980"/>
      <c r="J68" s="980"/>
      <c r="K68" s="980"/>
      <c r="L68" s="982">
        <v>6928</v>
      </c>
      <c r="M68" s="981"/>
      <c r="N68" s="970"/>
    </row>
    <row r="69" spans="1:14" ht="21" customHeight="1">
      <c r="A69" s="987"/>
      <c r="B69" s="978" t="s">
        <v>732</v>
      </c>
      <c r="C69" s="1103">
        <f>SUM('3c.m.'!G59)</f>
        <v>21311</v>
      </c>
      <c r="D69" s="979"/>
      <c r="E69" s="980"/>
      <c r="F69" s="980"/>
      <c r="G69" s="980"/>
      <c r="H69" s="980"/>
      <c r="I69" s="980"/>
      <c r="J69" s="980"/>
      <c r="K69" s="980"/>
      <c r="L69" s="980"/>
      <c r="M69" s="981"/>
      <c r="N69" s="970"/>
    </row>
    <row r="70" spans="1:14" ht="21" customHeight="1">
      <c r="A70" s="987"/>
      <c r="B70" s="978" t="s">
        <v>733</v>
      </c>
      <c r="C70" s="1103">
        <f>SUM('3c.m.'!G389)</f>
        <v>12000</v>
      </c>
      <c r="D70" s="979"/>
      <c r="E70" s="980"/>
      <c r="F70" s="980"/>
      <c r="G70" s="980"/>
      <c r="H70" s="980"/>
      <c r="I70" s="980"/>
      <c r="J70" s="980"/>
      <c r="K70" s="980"/>
      <c r="L70" s="980"/>
      <c r="M70" s="981"/>
      <c r="N70" s="970"/>
    </row>
    <row r="71" spans="1:14" ht="21" customHeight="1">
      <c r="A71" s="987"/>
      <c r="B71" s="978" t="s">
        <v>734</v>
      </c>
      <c r="C71" s="1103">
        <f>SUM('3c.m.'!G438)</f>
        <v>6564</v>
      </c>
      <c r="D71" s="979"/>
      <c r="E71" s="980"/>
      <c r="F71" s="980"/>
      <c r="G71" s="980"/>
      <c r="H71" s="980"/>
      <c r="I71" s="980"/>
      <c r="J71" s="980"/>
      <c r="K71" s="980"/>
      <c r="L71" s="980"/>
      <c r="M71" s="981"/>
      <c r="N71" s="970"/>
    </row>
    <row r="72" spans="1:14" ht="21" customHeight="1">
      <c r="A72" s="987"/>
      <c r="B72" s="978" t="s">
        <v>735</v>
      </c>
      <c r="C72" s="1103">
        <f>SUM('3c.m.'!G447)</f>
        <v>1003</v>
      </c>
      <c r="D72" s="979"/>
      <c r="E72" s="980"/>
      <c r="F72" s="980"/>
      <c r="G72" s="980"/>
      <c r="H72" s="980"/>
      <c r="I72" s="980"/>
      <c r="J72" s="980"/>
      <c r="K72" s="980"/>
      <c r="L72" s="980"/>
      <c r="M72" s="981"/>
      <c r="N72" s="970"/>
    </row>
    <row r="73" spans="1:14" ht="21" customHeight="1">
      <c r="A73" s="987"/>
      <c r="B73" s="978" t="s">
        <v>736</v>
      </c>
      <c r="C73" s="1103">
        <f>SUM('3c.m.'!G463)</f>
        <v>7500</v>
      </c>
      <c r="D73" s="979"/>
      <c r="E73" s="980"/>
      <c r="F73" s="980"/>
      <c r="G73" s="980"/>
      <c r="H73" s="980"/>
      <c r="I73" s="980"/>
      <c r="J73" s="980"/>
      <c r="K73" s="980"/>
      <c r="L73" s="980"/>
      <c r="M73" s="981"/>
      <c r="N73" s="970"/>
    </row>
    <row r="74" spans="1:14" ht="21" customHeight="1">
      <c r="A74" s="987"/>
      <c r="B74" s="978" t="s">
        <v>737</v>
      </c>
      <c r="C74" s="1103">
        <f>SUM('3c.m.'!G479)</f>
        <v>9859</v>
      </c>
      <c r="D74" s="979"/>
      <c r="E74" s="980"/>
      <c r="F74" s="980"/>
      <c r="G74" s="980"/>
      <c r="H74" s="980"/>
      <c r="I74" s="980"/>
      <c r="J74" s="980"/>
      <c r="K74" s="980"/>
      <c r="L74" s="980"/>
      <c r="M74" s="981"/>
      <c r="N74" s="970"/>
    </row>
    <row r="75" spans="1:14" ht="21" customHeight="1">
      <c r="A75" s="987"/>
      <c r="B75" s="978" t="s">
        <v>738</v>
      </c>
      <c r="C75" s="1103">
        <f>SUM('3c.m.'!G487)</f>
        <v>1736</v>
      </c>
      <c r="D75" s="979"/>
      <c r="E75" s="980"/>
      <c r="F75" s="980"/>
      <c r="G75" s="980"/>
      <c r="H75" s="980"/>
      <c r="I75" s="980"/>
      <c r="J75" s="980"/>
      <c r="K75" s="980"/>
      <c r="L75" s="980"/>
      <c r="M75" s="981"/>
      <c r="N75" s="970"/>
    </row>
    <row r="76" spans="1:14" ht="21" customHeight="1">
      <c r="A76" s="987"/>
      <c r="B76" s="978" t="s">
        <v>739</v>
      </c>
      <c r="C76" s="1103">
        <f>SUM('3c.m.'!G496)</f>
        <v>1320</v>
      </c>
      <c r="D76" s="979"/>
      <c r="E76" s="980"/>
      <c r="F76" s="980"/>
      <c r="G76" s="980"/>
      <c r="H76" s="980"/>
      <c r="I76" s="980"/>
      <c r="J76" s="980"/>
      <c r="K76" s="980"/>
      <c r="L76" s="980"/>
      <c r="M76" s="981"/>
      <c r="N76" s="970"/>
    </row>
    <row r="77" spans="1:14" ht="21" customHeight="1">
      <c r="A77" s="987"/>
      <c r="B77" s="978" t="s">
        <v>740</v>
      </c>
      <c r="C77" s="1103">
        <f>SUM('3c.m.'!G520)</f>
        <v>300</v>
      </c>
      <c r="D77" s="979"/>
      <c r="E77" s="980"/>
      <c r="F77" s="980"/>
      <c r="G77" s="980"/>
      <c r="H77" s="980"/>
      <c r="I77" s="980"/>
      <c r="J77" s="980"/>
      <c r="K77" s="980"/>
      <c r="L77" s="980"/>
      <c r="M77" s="981"/>
      <c r="N77" s="970"/>
    </row>
    <row r="78" spans="1:14" ht="21" customHeight="1">
      <c r="A78" s="987"/>
      <c r="B78" s="978" t="s">
        <v>741</v>
      </c>
      <c r="C78" s="1103">
        <f>SUM('3c.m.'!G528)</f>
        <v>3933</v>
      </c>
      <c r="D78" s="979"/>
      <c r="E78" s="980"/>
      <c r="F78" s="980"/>
      <c r="G78" s="980"/>
      <c r="H78" s="980"/>
      <c r="I78" s="980"/>
      <c r="J78" s="980"/>
      <c r="K78" s="980"/>
      <c r="L78" s="980"/>
      <c r="M78" s="981"/>
      <c r="N78" s="970"/>
    </row>
    <row r="79" spans="1:14" ht="21" customHeight="1">
      <c r="A79" s="987"/>
      <c r="B79" s="978" t="s">
        <v>742</v>
      </c>
      <c r="C79" s="1103">
        <f>SUM('3c.m.'!G536)</f>
        <v>2000</v>
      </c>
      <c r="D79" s="979"/>
      <c r="E79" s="980"/>
      <c r="F79" s="980"/>
      <c r="G79" s="980"/>
      <c r="H79" s="980"/>
      <c r="I79" s="980"/>
      <c r="J79" s="980"/>
      <c r="K79" s="980"/>
      <c r="L79" s="980"/>
      <c r="M79" s="981"/>
      <c r="N79" s="970"/>
    </row>
    <row r="80" spans="1:14" ht="21" customHeight="1">
      <c r="A80" s="987"/>
      <c r="B80" s="978" t="s">
        <v>743</v>
      </c>
      <c r="C80" s="1103">
        <f>SUM('3c.m.'!G552)</f>
        <v>3360</v>
      </c>
      <c r="D80" s="979"/>
      <c r="E80" s="980"/>
      <c r="F80" s="980"/>
      <c r="G80" s="980"/>
      <c r="H80" s="980"/>
      <c r="I80" s="980"/>
      <c r="J80" s="980"/>
      <c r="K80" s="980"/>
      <c r="L80" s="980"/>
      <c r="M80" s="981"/>
      <c r="N80" s="970"/>
    </row>
    <row r="81" spans="1:14" ht="21" customHeight="1">
      <c r="A81" s="965" t="s">
        <v>626</v>
      </c>
      <c r="B81" s="977" t="s">
        <v>744</v>
      </c>
      <c r="C81" s="1102">
        <f>SUM(C82:C83)</f>
        <v>2027</v>
      </c>
      <c r="D81" s="968">
        <f>SUM(E81:N81)</f>
        <v>2027</v>
      </c>
      <c r="E81" s="980"/>
      <c r="F81" s="982"/>
      <c r="G81" s="982">
        <v>2027</v>
      </c>
      <c r="H81" s="980"/>
      <c r="I81" s="980"/>
      <c r="J81" s="980"/>
      <c r="K81" s="980"/>
      <c r="L81" s="980"/>
      <c r="M81" s="981"/>
      <c r="N81" s="970"/>
    </row>
    <row r="82" spans="1:14" ht="21" customHeight="1">
      <c r="A82" s="965"/>
      <c r="B82" s="978" t="s">
        <v>745</v>
      </c>
      <c r="C82" s="1103">
        <f>SUM('3c.m.'!G504)</f>
        <v>1000</v>
      </c>
      <c r="D82" s="979"/>
      <c r="E82" s="980"/>
      <c r="F82" s="980"/>
      <c r="G82" s="980"/>
      <c r="H82" s="980"/>
      <c r="I82" s="980"/>
      <c r="J82" s="980"/>
      <c r="K82" s="980"/>
      <c r="L82" s="980"/>
      <c r="M82" s="981"/>
      <c r="N82" s="970"/>
    </row>
    <row r="83" spans="1:14" ht="21" customHeight="1">
      <c r="A83" s="965"/>
      <c r="B83" s="978" t="s">
        <v>746</v>
      </c>
      <c r="C83" s="1103">
        <f>SUM('3c.m.'!G512)</f>
        <v>1027</v>
      </c>
      <c r="D83" s="979"/>
      <c r="E83" s="980"/>
      <c r="F83" s="980"/>
      <c r="G83" s="980"/>
      <c r="H83" s="980"/>
      <c r="I83" s="980"/>
      <c r="J83" s="980"/>
      <c r="K83" s="980"/>
      <c r="L83" s="980"/>
      <c r="M83" s="981"/>
      <c r="N83" s="970"/>
    </row>
    <row r="84" spans="1:14" ht="21" customHeight="1">
      <c r="A84" s="965" t="s">
        <v>628</v>
      </c>
      <c r="B84" s="977" t="s">
        <v>747</v>
      </c>
      <c r="C84" s="1102">
        <f>SUM(C85:C94)</f>
        <v>285800</v>
      </c>
      <c r="D84" s="968">
        <f>SUM(E84:N84)</f>
        <v>285800</v>
      </c>
      <c r="E84" s="982">
        <v>257800</v>
      </c>
      <c r="F84" s="982"/>
      <c r="G84" s="982">
        <v>28000</v>
      </c>
      <c r="H84" s="980"/>
      <c r="I84" s="980"/>
      <c r="J84" s="980"/>
      <c r="K84" s="980"/>
      <c r="L84" s="982"/>
      <c r="M84" s="981"/>
      <c r="N84" s="970"/>
    </row>
    <row r="85" spans="1:14" ht="21" customHeight="1">
      <c r="A85" s="987"/>
      <c r="B85" s="978" t="s">
        <v>748</v>
      </c>
      <c r="C85" s="1103">
        <f>SUM('3c.m.'!G733)</f>
        <v>3000</v>
      </c>
      <c r="D85" s="979"/>
      <c r="E85" s="980"/>
      <c r="F85" s="980"/>
      <c r="G85" s="980"/>
      <c r="H85" s="980"/>
      <c r="I85" s="980"/>
      <c r="J85" s="980"/>
      <c r="K85" s="980"/>
      <c r="L85" s="980"/>
      <c r="M85" s="981"/>
      <c r="N85" s="970"/>
    </row>
    <row r="86" spans="1:14" ht="21" customHeight="1">
      <c r="A86" s="987"/>
      <c r="B86" s="978" t="s">
        <v>749</v>
      </c>
      <c r="C86" s="1103">
        <f>SUM('3c.m.'!G741)</f>
        <v>2500</v>
      </c>
      <c r="D86" s="979"/>
      <c r="E86" s="980"/>
      <c r="F86" s="980"/>
      <c r="G86" s="980"/>
      <c r="H86" s="980"/>
      <c r="I86" s="980"/>
      <c r="J86" s="980"/>
      <c r="K86" s="980"/>
      <c r="L86" s="980"/>
      <c r="M86" s="981"/>
      <c r="N86" s="970"/>
    </row>
    <row r="87" spans="1:14" ht="21" customHeight="1">
      <c r="A87" s="987"/>
      <c r="B87" s="978" t="s">
        <v>750</v>
      </c>
      <c r="C87" s="1103">
        <f>SUM('3c.m.'!G749)</f>
        <v>5000</v>
      </c>
      <c r="D87" s="979"/>
      <c r="E87" s="980"/>
      <c r="F87" s="980"/>
      <c r="G87" s="980"/>
      <c r="H87" s="980"/>
      <c r="I87" s="980"/>
      <c r="J87" s="980"/>
      <c r="K87" s="980"/>
      <c r="L87" s="980"/>
      <c r="M87" s="981"/>
      <c r="N87" s="970"/>
    </row>
    <row r="88" spans="1:14" ht="21" customHeight="1">
      <c r="A88" s="987"/>
      <c r="B88" s="978" t="s">
        <v>751</v>
      </c>
      <c r="C88" s="1103">
        <f>SUM('3c.m.'!G757)</f>
        <v>5000</v>
      </c>
      <c r="D88" s="979"/>
      <c r="E88" s="980"/>
      <c r="F88" s="980"/>
      <c r="G88" s="980"/>
      <c r="H88" s="980"/>
      <c r="I88" s="980"/>
      <c r="J88" s="980"/>
      <c r="K88" s="980"/>
      <c r="L88" s="980"/>
      <c r="M88" s="981"/>
      <c r="N88" s="970"/>
    </row>
    <row r="89" spans="1:14" ht="21" customHeight="1">
      <c r="A89" s="987"/>
      <c r="B89" s="978" t="s">
        <v>752</v>
      </c>
      <c r="C89" s="1103">
        <f>SUM('3c.m.'!G766)</f>
        <v>3000</v>
      </c>
      <c r="D89" s="979"/>
      <c r="E89" s="980"/>
      <c r="F89" s="980"/>
      <c r="G89" s="980"/>
      <c r="H89" s="980"/>
      <c r="I89" s="980"/>
      <c r="J89" s="980"/>
      <c r="K89" s="980"/>
      <c r="L89" s="980"/>
      <c r="M89" s="981"/>
      <c r="N89" s="970"/>
    </row>
    <row r="90" spans="1:14" ht="21" customHeight="1">
      <c r="A90" s="987"/>
      <c r="B90" s="978" t="s">
        <v>753</v>
      </c>
      <c r="C90" s="1103">
        <f>SUM('3c.m.'!G774)</f>
        <v>3000</v>
      </c>
      <c r="D90" s="979"/>
      <c r="E90" s="980"/>
      <c r="F90" s="980"/>
      <c r="G90" s="980"/>
      <c r="H90" s="980"/>
      <c r="I90" s="980"/>
      <c r="J90" s="980"/>
      <c r="K90" s="980"/>
      <c r="L90" s="980"/>
      <c r="M90" s="981"/>
      <c r="N90" s="970"/>
    </row>
    <row r="91" spans="1:14" ht="21" customHeight="1">
      <c r="A91" s="987"/>
      <c r="B91" s="978" t="s">
        <v>754</v>
      </c>
      <c r="C91" s="1103">
        <f>SUM('3c.m.'!G782)</f>
        <v>1500</v>
      </c>
      <c r="D91" s="979"/>
      <c r="E91" s="980"/>
      <c r="F91" s="980"/>
      <c r="G91" s="980"/>
      <c r="H91" s="980"/>
      <c r="I91" s="980"/>
      <c r="J91" s="980"/>
      <c r="K91" s="980"/>
      <c r="L91" s="980"/>
      <c r="M91" s="981"/>
      <c r="N91" s="970"/>
    </row>
    <row r="92" spans="1:14" ht="21" customHeight="1">
      <c r="A92" s="987"/>
      <c r="B92" s="978" t="s">
        <v>755</v>
      </c>
      <c r="C92" s="1103">
        <f>SUM('3d.m.'!G26)</f>
        <v>5000</v>
      </c>
      <c r="D92" s="979"/>
      <c r="E92" s="980"/>
      <c r="F92" s="980"/>
      <c r="G92" s="980"/>
      <c r="H92" s="980"/>
      <c r="I92" s="980"/>
      <c r="J92" s="980"/>
      <c r="K92" s="980"/>
      <c r="L92" s="980"/>
      <c r="M92" s="981"/>
      <c r="N92" s="970"/>
    </row>
    <row r="93" spans="1:14" ht="21" customHeight="1">
      <c r="A93" s="987"/>
      <c r="B93" s="978" t="s">
        <v>756</v>
      </c>
      <c r="C93" s="1103">
        <f>SUM('3d.m.'!G40)</f>
        <v>215900</v>
      </c>
      <c r="D93" s="979"/>
      <c r="E93" s="980"/>
      <c r="F93" s="980"/>
      <c r="G93" s="980"/>
      <c r="H93" s="980"/>
      <c r="I93" s="980"/>
      <c r="J93" s="980"/>
      <c r="K93" s="980"/>
      <c r="L93" s="980"/>
      <c r="M93" s="981"/>
      <c r="N93" s="970"/>
    </row>
    <row r="94" spans="1:14" ht="21" customHeight="1">
      <c r="A94" s="987"/>
      <c r="B94" s="1122" t="s">
        <v>1128</v>
      </c>
      <c r="C94" s="1103">
        <f>SUM('3d.m.'!G42)</f>
        <v>41900</v>
      </c>
      <c r="D94" s="979"/>
      <c r="E94" s="980"/>
      <c r="F94" s="980"/>
      <c r="G94" s="980"/>
      <c r="H94" s="980"/>
      <c r="I94" s="980"/>
      <c r="J94" s="980"/>
      <c r="K94" s="980"/>
      <c r="L94" s="980"/>
      <c r="M94" s="981"/>
      <c r="N94" s="970"/>
    </row>
    <row r="95" spans="1:14" ht="21" customHeight="1">
      <c r="A95" s="965" t="s">
        <v>630</v>
      </c>
      <c r="B95" s="977" t="s">
        <v>757</v>
      </c>
      <c r="C95" s="1102">
        <f>SUM(C96:C116)</f>
        <v>3136387</v>
      </c>
      <c r="D95" s="968">
        <f>SUM(E95:N95)</f>
        <v>3136387</v>
      </c>
      <c r="E95" s="980"/>
      <c r="F95" s="982">
        <v>821495</v>
      </c>
      <c r="G95" s="982"/>
      <c r="H95" s="982"/>
      <c r="I95" s="982"/>
      <c r="J95" s="980"/>
      <c r="K95" s="980"/>
      <c r="L95" s="982">
        <v>188953</v>
      </c>
      <c r="M95" s="985">
        <v>2125939</v>
      </c>
      <c r="N95" s="988"/>
    </row>
    <row r="96" spans="1:14" ht="21" customHeight="1">
      <c r="A96" s="987"/>
      <c r="B96" s="978" t="s">
        <v>758</v>
      </c>
      <c r="C96" s="1103">
        <f>SUM('3c.m.'!G69)</f>
        <v>1209943</v>
      </c>
      <c r="D96" s="979"/>
      <c r="E96" s="980"/>
      <c r="F96" s="980"/>
      <c r="G96" s="980"/>
      <c r="H96" s="980"/>
      <c r="I96" s="980"/>
      <c r="J96" s="980"/>
      <c r="K96" s="980"/>
      <c r="L96" s="980"/>
      <c r="M96" s="981"/>
      <c r="N96" s="970"/>
    </row>
    <row r="97" spans="1:14" ht="21" customHeight="1">
      <c r="A97" s="987"/>
      <c r="B97" s="978" t="s">
        <v>759</v>
      </c>
      <c r="C97" s="1103">
        <f>SUM('3c.m.'!G86)</f>
        <v>173662</v>
      </c>
      <c r="D97" s="979"/>
      <c r="E97" s="980"/>
      <c r="F97" s="980"/>
      <c r="G97" s="980"/>
      <c r="H97" s="980"/>
      <c r="I97" s="980"/>
      <c r="J97" s="980"/>
      <c r="K97" s="980"/>
      <c r="L97" s="980"/>
      <c r="M97" s="981"/>
      <c r="N97" s="970"/>
    </row>
    <row r="98" spans="1:14" ht="21" customHeight="1">
      <c r="A98" s="987"/>
      <c r="B98" s="975" t="s">
        <v>760</v>
      </c>
      <c r="C98" s="1103">
        <f>SUM('3c.m.'!G94)</f>
        <v>73829</v>
      </c>
      <c r="D98" s="979"/>
      <c r="E98" s="980"/>
      <c r="F98" s="980"/>
      <c r="G98" s="980"/>
      <c r="H98" s="980"/>
      <c r="I98" s="980"/>
      <c r="J98" s="980"/>
      <c r="K98" s="980"/>
      <c r="L98" s="980"/>
      <c r="M98" s="981"/>
      <c r="N98" s="970"/>
    </row>
    <row r="99" spans="1:14" ht="21" customHeight="1">
      <c r="A99" s="987"/>
      <c r="B99" s="975" t="s">
        <v>761</v>
      </c>
      <c r="C99" s="1103">
        <f>SUM('3c.m.'!G103)</f>
        <v>25294</v>
      </c>
      <c r="D99" s="979"/>
      <c r="E99" s="980"/>
      <c r="F99" s="980"/>
      <c r="G99" s="980"/>
      <c r="H99" s="980"/>
      <c r="I99" s="980"/>
      <c r="J99" s="980"/>
      <c r="K99" s="980"/>
      <c r="L99" s="980"/>
      <c r="M99" s="981"/>
      <c r="N99" s="970"/>
    </row>
    <row r="100" spans="1:14" ht="21" customHeight="1">
      <c r="A100" s="987"/>
      <c r="B100" s="975" t="s">
        <v>762</v>
      </c>
      <c r="C100" s="1103">
        <f>SUM('3c.m.'!G111)</f>
        <v>26661</v>
      </c>
      <c r="D100" s="979"/>
      <c r="E100" s="980"/>
      <c r="F100" s="980"/>
      <c r="G100" s="980"/>
      <c r="H100" s="980"/>
      <c r="I100" s="980"/>
      <c r="J100" s="980"/>
      <c r="K100" s="980"/>
      <c r="L100" s="980"/>
      <c r="M100" s="981"/>
      <c r="N100" s="970"/>
    </row>
    <row r="101" spans="1:14" ht="21" customHeight="1">
      <c r="A101" s="987"/>
      <c r="B101" s="975" t="s">
        <v>763</v>
      </c>
      <c r="C101" s="1103">
        <f>SUM('3c.m.'!G119)</f>
        <v>32787</v>
      </c>
      <c r="D101" s="979"/>
      <c r="E101" s="980"/>
      <c r="F101" s="980"/>
      <c r="G101" s="980"/>
      <c r="H101" s="980"/>
      <c r="I101" s="980"/>
      <c r="J101" s="980"/>
      <c r="K101" s="980"/>
      <c r="L101" s="980"/>
      <c r="M101" s="981"/>
      <c r="N101" s="970"/>
    </row>
    <row r="102" spans="1:14" ht="21" customHeight="1">
      <c r="A102" s="987"/>
      <c r="B102" s="975" t="s">
        <v>764</v>
      </c>
      <c r="C102" s="1103">
        <f>SUM('3c.m.'!G127)</f>
        <v>10522</v>
      </c>
      <c r="D102" s="979"/>
      <c r="E102" s="980"/>
      <c r="F102" s="980"/>
      <c r="G102" s="980"/>
      <c r="H102" s="980"/>
      <c r="I102" s="980"/>
      <c r="J102" s="980"/>
      <c r="K102" s="980"/>
      <c r="L102" s="980"/>
      <c r="M102" s="981"/>
      <c r="N102" s="970"/>
    </row>
    <row r="103" spans="1:14" ht="21" customHeight="1">
      <c r="A103" s="987"/>
      <c r="B103" s="975" t="s">
        <v>765</v>
      </c>
      <c r="C103" s="1103">
        <f>SUM('3c.m.'!G295)</f>
        <v>547767</v>
      </c>
      <c r="D103" s="979"/>
      <c r="E103" s="980"/>
      <c r="F103" s="980"/>
      <c r="G103" s="980"/>
      <c r="H103" s="980"/>
      <c r="I103" s="980"/>
      <c r="J103" s="980"/>
      <c r="K103" s="980"/>
      <c r="L103" s="980"/>
      <c r="M103" s="981"/>
      <c r="N103" s="970"/>
    </row>
    <row r="104" spans="1:14" ht="21" customHeight="1">
      <c r="A104" s="987"/>
      <c r="B104" s="978" t="s">
        <v>766</v>
      </c>
      <c r="C104" s="1103">
        <f>SUM('4.mell.'!G36)</f>
        <v>190231</v>
      </c>
      <c r="D104" s="979"/>
      <c r="E104" s="980"/>
      <c r="F104" s="980"/>
      <c r="G104" s="980"/>
      <c r="H104" s="980"/>
      <c r="I104" s="980"/>
      <c r="J104" s="980"/>
      <c r="K104" s="980"/>
      <c r="L104" s="980"/>
      <c r="M104" s="981"/>
      <c r="N104" s="970"/>
    </row>
    <row r="105" spans="1:14" ht="21" customHeight="1">
      <c r="A105" s="987"/>
      <c r="B105" s="978" t="s">
        <v>1107</v>
      </c>
      <c r="C105" s="1103">
        <f>SUM('4.mell.'!G40)</f>
        <v>76939</v>
      </c>
      <c r="D105" s="979"/>
      <c r="E105" s="980"/>
      <c r="F105" s="980"/>
      <c r="G105" s="980"/>
      <c r="H105" s="980"/>
      <c r="I105" s="980"/>
      <c r="J105" s="980"/>
      <c r="K105" s="980"/>
      <c r="L105" s="980"/>
      <c r="M105" s="981"/>
      <c r="N105" s="970"/>
    </row>
    <row r="106" spans="1:14" ht="21" customHeight="1">
      <c r="A106" s="987"/>
      <c r="B106" s="978" t="s">
        <v>767</v>
      </c>
      <c r="C106" s="1103">
        <f>SUM('4.mell.'!G42)</f>
        <v>70179</v>
      </c>
      <c r="D106" s="979"/>
      <c r="E106" s="980"/>
      <c r="F106" s="980"/>
      <c r="G106" s="980"/>
      <c r="H106" s="980"/>
      <c r="I106" s="980"/>
      <c r="J106" s="980"/>
      <c r="K106" s="980"/>
      <c r="L106" s="980"/>
      <c r="M106" s="981"/>
      <c r="N106" s="970"/>
    </row>
    <row r="107" spans="1:14" ht="21" customHeight="1">
      <c r="A107" s="987"/>
      <c r="B107" s="978" t="s">
        <v>768</v>
      </c>
      <c r="C107" s="1103">
        <f>SUM('4.mell.'!G47)</f>
        <v>180562</v>
      </c>
      <c r="D107" s="979"/>
      <c r="E107" s="980"/>
      <c r="F107" s="980"/>
      <c r="G107" s="980"/>
      <c r="H107" s="980"/>
      <c r="I107" s="980"/>
      <c r="J107" s="980"/>
      <c r="K107" s="980"/>
      <c r="L107" s="980"/>
      <c r="M107" s="981"/>
      <c r="N107" s="970"/>
    </row>
    <row r="108" spans="1:14" ht="21" customHeight="1">
      <c r="A108" s="987"/>
      <c r="B108" s="978" t="s">
        <v>1207</v>
      </c>
      <c r="C108" s="1103">
        <f>SUM('4.mell.'!G59)</f>
        <v>6584</v>
      </c>
      <c r="D108" s="979"/>
      <c r="E108" s="980"/>
      <c r="F108" s="980"/>
      <c r="G108" s="980"/>
      <c r="H108" s="980"/>
      <c r="I108" s="980"/>
      <c r="J108" s="980"/>
      <c r="K108" s="980"/>
      <c r="L108" s="980"/>
      <c r="M108" s="981"/>
      <c r="N108" s="970"/>
    </row>
    <row r="109" spans="1:14" ht="21" customHeight="1">
      <c r="A109" s="987"/>
      <c r="B109" s="978" t="s">
        <v>1208</v>
      </c>
      <c r="C109" s="1103">
        <f>SUM('4.mell.'!G60)</f>
        <v>19201</v>
      </c>
      <c r="D109" s="979"/>
      <c r="E109" s="980"/>
      <c r="F109" s="980"/>
      <c r="G109" s="980"/>
      <c r="H109" s="980"/>
      <c r="I109" s="980"/>
      <c r="J109" s="980"/>
      <c r="K109" s="980"/>
      <c r="L109" s="980"/>
      <c r="M109" s="981"/>
      <c r="N109" s="970"/>
    </row>
    <row r="110" spans="1:14" ht="21" customHeight="1">
      <c r="A110" s="987"/>
      <c r="B110" s="978" t="s">
        <v>1209</v>
      </c>
      <c r="C110" s="1103">
        <f>SUM('4.mell.'!G66)</f>
        <v>110013</v>
      </c>
      <c r="D110" s="979"/>
      <c r="E110" s="980"/>
      <c r="F110" s="980"/>
      <c r="G110" s="980"/>
      <c r="H110" s="980"/>
      <c r="I110" s="980"/>
      <c r="J110" s="980"/>
      <c r="K110" s="980"/>
      <c r="L110" s="980"/>
      <c r="M110" s="981"/>
      <c r="N110" s="970"/>
    </row>
    <row r="111" spans="1:14" ht="21" customHeight="1">
      <c r="A111" s="987"/>
      <c r="B111" s="978" t="s">
        <v>1211</v>
      </c>
      <c r="C111" s="1103">
        <f>SUM('4.mell.'!G74)</f>
        <v>56539</v>
      </c>
      <c r="D111" s="979"/>
      <c r="E111" s="980"/>
      <c r="F111" s="980"/>
      <c r="G111" s="980"/>
      <c r="H111" s="980"/>
      <c r="I111" s="980"/>
      <c r="J111" s="980"/>
      <c r="K111" s="980"/>
      <c r="L111" s="980"/>
      <c r="M111" s="981"/>
      <c r="N111" s="970"/>
    </row>
    <row r="112" spans="1:14" ht="21" customHeight="1">
      <c r="A112" s="987"/>
      <c r="B112" s="978" t="s">
        <v>1210</v>
      </c>
      <c r="C112" s="1103">
        <f>SUM('4.mell.'!G75)</f>
        <v>31593</v>
      </c>
      <c r="D112" s="979"/>
      <c r="E112" s="980"/>
      <c r="F112" s="980"/>
      <c r="G112" s="980"/>
      <c r="H112" s="980"/>
      <c r="I112" s="980"/>
      <c r="J112" s="980"/>
      <c r="K112" s="980"/>
      <c r="L112" s="980"/>
      <c r="M112" s="981"/>
      <c r="N112" s="970"/>
    </row>
    <row r="113" spans="1:14" ht="21" customHeight="1">
      <c r="A113" s="987"/>
      <c r="B113" s="978" t="s">
        <v>769</v>
      </c>
      <c r="C113" s="1103">
        <f>SUM('4.mell.'!G68)</f>
        <v>24837</v>
      </c>
      <c r="D113" s="979"/>
      <c r="E113" s="980"/>
      <c r="F113" s="980"/>
      <c r="G113" s="980"/>
      <c r="H113" s="980"/>
      <c r="I113" s="980"/>
      <c r="J113" s="980"/>
      <c r="K113" s="980"/>
      <c r="L113" s="980"/>
      <c r="M113" s="981"/>
      <c r="N113" s="970"/>
    </row>
    <row r="114" spans="1:14" ht="21" customHeight="1">
      <c r="A114" s="987"/>
      <c r="B114" s="978" t="s">
        <v>770</v>
      </c>
      <c r="C114" s="1103">
        <f>SUM('4.mell.'!G71)</f>
        <v>257015</v>
      </c>
      <c r="D114" s="979"/>
      <c r="E114" s="980"/>
      <c r="F114" s="980"/>
      <c r="G114" s="980"/>
      <c r="H114" s="980"/>
      <c r="I114" s="980"/>
      <c r="J114" s="980"/>
      <c r="K114" s="980"/>
      <c r="L114" s="980"/>
      <c r="M114" s="981"/>
      <c r="N114" s="970"/>
    </row>
    <row r="115" spans="1:14" ht="21" customHeight="1">
      <c r="A115" s="987"/>
      <c r="B115" s="978" t="s">
        <v>1121</v>
      </c>
      <c r="C115" s="1103">
        <f>SUM('4.mell.'!F72)</f>
        <v>0</v>
      </c>
      <c r="D115" s="979"/>
      <c r="E115" s="980"/>
      <c r="F115" s="980"/>
      <c r="G115" s="980"/>
      <c r="H115" s="980"/>
      <c r="I115" s="980"/>
      <c r="J115" s="980"/>
      <c r="K115" s="980"/>
      <c r="L115" s="980"/>
      <c r="M115" s="981"/>
      <c r="N115" s="970"/>
    </row>
    <row r="116" spans="1:14" ht="21" customHeight="1">
      <c r="A116" s="987"/>
      <c r="B116" s="978" t="s">
        <v>1146</v>
      </c>
      <c r="C116" s="1103">
        <f>SUM('4.mell.'!G73)</f>
        <v>12229</v>
      </c>
      <c r="D116" s="979"/>
      <c r="E116" s="980"/>
      <c r="F116" s="980"/>
      <c r="G116" s="980"/>
      <c r="H116" s="980"/>
      <c r="I116" s="980"/>
      <c r="J116" s="980"/>
      <c r="K116" s="980"/>
      <c r="L116" s="980"/>
      <c r="M116" s="981"/>
      <c r="N116" s="970"/>
    </row>
    <row r="117" spans="1:14" ht="21" customHeight="1">
      <c r="A117" s="965" t="s">
        <v>633</v>
      </c>
      <c r="B117" s="977" t="s">
        <v>771</v>
      </c>
      <c r="C117" s="1103"/>
      <c r="D117" s="968">
        <f>SUM(E117:M117)</f>
        <v>0</v>
      </c>
      <c r="E117" s="980"/>
      <c r="F117" s="980"/>
      <c r="G117" s="980"/>
      <c r="H117" s="980"/>
      <c r="I117" s="980"/>
      <c r="J117" s="980"/>
      <c r="K117" s="980"/>
      <c r="L117" s="980"/>
      <c r="M117" s="981"/>
      <c r="N117" s="970"/>
    </row>
    <row r="118" spans="1:14" ht="21" customHeight="1">
      <c r="A118" s="965" t="s">
        <v>635</v>
      </c>
      <c r="B118" s="977" t="s">
        <v>772</v>
      </c>
      <c r="C118" s="1103"/>
      <c r="D118" s="968">
        <f>SUM(E118:M118)</f>
        <v>0</v>
      </c>
      <c r="E118" s="980"/>
      <c r="F118" s="980"/>
      <c r="G118" s="980"/>
      <c r="H118" s="980"/>
      <c r="I118" s="980"/>
      <c r="J118" s="980"/>
      <c r="K118" s="980"/>
      <c r="L118" s="980"/>
      <c r="M118" s="981"/>
      <c r="N118" s="970"/>
    </row>
    <row r="119" spans="1:14" ht="21" customHeight="1">
      <c r="A119" s="965" t="s">
        <v>637</v>
      </c>
      <c r="B119" s="977" t="s">
        <v>773</v>
      </c>
      <c r="C119" s="1102">
        <f>SUM(C120:C128)</f>
        <v>80657</v>
      </c>
      <c r="D119" s="968">
        <f>SUM(E119:M119)</f>
        <v>80657</v>
      </c>
      <c r="E119" s="980"/>
      <c r="F119" s="982">
        <v>72368</v>
      </c>
      <c r="G119" s="982"/>
      <c r="H119" s="982"/>
      <c r="I119" s="980"/>
      <c r="J119" s="980"/>
      <c r="K119" s="980"/>
      <c r="L119" s="982">
        <v>8289</v>
      </c>
      <c r="M119" s="981"/>
      <c r="N119" s="970"/>
    </row>
    <row r="120" spans="1:14" ht="21" customHeight="1">
      <c r="A120" s="965"/>
      <c r="B120" s="978" t="s">
        <v>774</v>
      </c>
      <c r="C120" s="1103">
        <f>SUM('3c.m.'!G153)</f>
        <v>13554</v>
      </c>
      <c r="D120" s="968"/>
      <c r="E120" s="980"/>
      <c r="F120" s="980"/>
      <c r="G120" s="980"/>
      <c r="H120" s="982"/>
      <c r="I120" s="980"/>
      <c r="J120" s="980"/>
      <c r="K120" s="980"/>
      <c r="L120" s="980"/>
      <c r="M120" s="981"/>
      <c r="N120" s="970"/>
    </row>
    <row r="121" spans="1:14" ht="21" customHeight="1">
      <c r="A121" s="965"/>
      <c r="B121" s="978" t="s">
        <v>775</v>
      </c>
      <c r="C121" s="1103">
        <f>SUM('3c.m.'!G161)</f>
        <v>11890</v>
      </c>
      <c r="D121" s="968"/>
      <c r="E121" s="980"/>
      <c r="F121" s="980"/>
      <c r="G121" s="980"/>
      <c r="H121" s="982"/>
      <c r="I121" s="980"/>
      <c r="J121" s="980"/>
      <c r="K121" s="980"/>
      <c r="L121" s="980"/>
      <c r="M121" s="981"/>
      <c r="N121" s="970"/>
    </row>
    <row r="122" spans="1:14" ht="21" customHeight="1">
      <c r="A122" s="965"/>
      <c r="B122" s="978" t="s">
        <v>776</v>
      </c>
      <c r="C122" s="1103">
        <f>SUM('3c.m.'!G186)</f>
        <v>10515</v>
      </c>
      <c r="D122" s="968"/>
      <c r="E122" s="980"/>
      <c r="F122" s="980"/>
      <c r="G122" s="980"/>
      <c r="H122" s="982"/>
      <c r="I122" s="980"/>
      <c r="J122" s="980"/>
      <c r="K122" s="980"/>
      <c r="L122" s="980"/>
      <c r="M122" s="981"/>
      <c r="N122" s="970"/>
    </row>
    <row r="123" spans="1:14" ht="21" customHeight="1">
      <c r="A123" s="965"/>
      <c r="B123" s="978" t="s">
        <v>777</v>
      </c>
      <c r="C123" s="1103">
        <f>SUM('3c.m.'!G177)</f>
        <v>5143</v>
      </c>
      <c r="D123" s="979"/>
      <c r="E123" s="980"/>
      <c r="F123" s="980"/>
      <c r="G123" s="980"/>
      <c r="H123" s="980"/>
      <c r="I123" s="980"/>
      <c r="J123" s="980"/>
      <c r="K123" s="980"/>
      <c r="L123" s="980"/>
      <c r="M123" s="981"/>
      <c r="N123" s="970"/>
    </row>
    <row r="124" spans="1:14" ht="21" customHeight="1">
      <c r="A124" s="965"/>
      <c r="B124" s="978" t="s">
        <v>778</v>
      </c>
      <c r="C124" s="1103">
        <f>SUM('3c.m.'!G601)</f>
        <v>7801</v>
      </c>
      <c r="D124" s="979"/>
      <c r="E124" s="980"/>
      <c r="F124" s="980"/>
      <c r="G124" s="980"/>
      <c r="H124" s="980"/>
      <c r="I124" s="980"/>
      <c r="J124" s="980"/>
      <c r="K124" s="980"/>
      <c r="L124" s="980"/>
      <c r="M124" s="981"/>
      <c r="N124" s="970"/>
    </row>
    <row r="125" spans="1:14" ht="21" customHeight="1">
      <c r="A125" s="965"/>
      <c r="B125" s="978" t="s">
        <v>779</v>
      </c>
      <c r="C125" s="1103">
        <f>SUM('3c.m.'!G635)</f>
        <v>12439</v>
      </c>
      <c r="D125" s="979"/>
      <c r="E125" s="980"/>
      <c r="F125" s="980"/>
      <c r="G125" s="980"/>
      <c r="H125" s="980"/>
      <c r="I125" s="980"/>
      <c r="J125" s="980"/>
      <c r="K125" s="980"/>
      <c r="L125" s="980"/>
      <c r="M125" s="981"/>
      <c r="N125" s="970"/>
    </row>
    <row r="126" spans="1:14" ht="21" customHeight="1">
      <c r="A126" s="965"/>
      <c r="B126" s="978" t="s">
        <v>780</v>
      </c>
      <c r="C126" s="1103">
        <f>SUM('3c.m.'!G643)</f>
        <v>11315</v>
      </c>
      <c r="D126" s="979"/>
      <c r="E126" s="980"/>
      <c r="F126" s="980"/>
      <c r="G126" s="980"/>
      <c r="H126" s="980"/>
      <c r="I126" s="980"/>
      <c r="J126" s="980"/>
      <c r="K126" s="980"/>
      <c r="L126" s="980"/>
      <c r="M126" s="981"/>
      <c r="N126" s="970"/>
    </row>
    <row r="127" spans="1:14" ht="21" customHeight="1">
      <c r="A127" s="965"/>
      <c r="B127" s="978" t="s">
        <v>781</v>
      </c>
      <c r="C127" s="1103">
        <f>SUM('3c.m.'!G652)</f>
        <v>4000</v>
      </c>
      <c r="D127" s="979"/>
      <c r="E127" s="980"/>
      <c r="F127" s="980"/>
      <c r="G127" s="980"/>
      <c r="H127" s="980"/>
      <c r="I127" s="980"/>
      <c r="J127" s="980"/>
      <c r="K127" s="980"/>
      <c r="L127" s="980"/>
      <c r="M127" s="981"/>
      <c r="N127" s="970"/>
    </row>
    <row r="128" spans="1:14" ht="21" customHeight="1">
      <c r="A128" s="965"/>
      <c r="B128" s="978" t="s">
        <v>782</v>
      </c>
      <c r="C128" s="1103">
        <f>SUM('3c.m.'!G660)</f>
        <v>4000</v>
      </c>
      <c r="D128" s="979"/>
      <c r="E128" s="980"/>
      <c r="F128" s="980"/>
      <c r="G128" s="980"/>
      <c r="H128" s="980"/>
      <c r="I128" s="980"/>
      <c r="J128" s="980"/>
      <c r="K128" s="980"/>
      <c r="L128" s="980"/>
      <c r="M128" s="981"/>
      <c r="N128" s="970"/>
    </row>
    <row r="129" spans="1:14" ht="21" customHeight="1">
      <c r="A129" s="965" t="s">
        <v>639</v>
      </c>
      <c r="B129" s="977" t="s">
        <v>783</v>
      </c>
      <c r="C129" s="1102">
        <f>SUM(C130:C133)</f>
        <v>63353</v>
      </c>
      <c r="D129" s="968">
        <f>SUM(E129:M129)</f>
        <v>63353</v>
      </c>
      <c r="E129" s="980"/>
      <c r="F129" s="982">
        <v>43200</v>
      </c>
      <c r="G129" s="982"/>
      <c r="H129" s="980"/>
      <c r="I129" s="980"/>
      <c r="J129" s="980"/>
      <c r="K129" s="980"/>
      <c r="L129" s="982">
        <v>20153</v>
      </c>
      <c r="M129" s="981"/>
      <c r="N129" s="970"/>
    </row>
    <row r="130" spans="1:14" ht="21" customHeight="1">
      <c r="A130" s="965"/>
      <c r="B130" s="978" t="s">
        <v>784</v>
      </c>
      <c r="C130" s="1103">
        <f>SUM('3c.m.'!G228)</f>
        <v>10667</v>
      </c>
      <c r="D130" s="979"/>
      <c r="E130" s="980"/>
      <c r="F130" s="980"/>
      <c r="G130" s="980"/>
      <c r="H130" s="980"/>
      <c r="I130" s="980"/>
      <c r="J130" s="980"/>
      <c r="K130" s="980"/>
      <c r="L130" s="980"/>
      <c r="M130" s="981"/>
      <c r="N130" s="970"/>
    </row>
    <row r="131" spans="1:14" ht="21" customHeight="1">
      <c r="A131" s="965"/>
      <c r="B131" s="978" t="s">
        <v>785</v>
      </c>
      <c r="C131" s="1103">
        <f>SUM('3c.m.'!G270)</f>
        <v>2000</v>
      </c>
      <c r="D131" s="1103"/>
      <c r="E131" s="980"/>
      <c r="F131" s="980"/>
      <c r="G131" s="980"/>
      <c r="H131" s="980"/>
      <c r="I131" s="980"/>
      <c r="J131" s="980"/>
      <c r="K131" s="980"/>
      <c r="L131" s="980"/>
      <c r="M131" s="981"/>
      <c r="N131" s="970"/>
    </row>
    <row r="132" spans="1:14" ht="21" customHeight="1">
      <c r="A132" s="965"/>
      <c r="B132" s="978" t="s">
        <v>786</v>
      </c>
      <c r="C132" s="1103">
        <f>SUM('3c.m.'!G798)</f>
        <v>1000</v>
      </c>
      <c r="D132" s="979"/>
      <c r="E132" s="980"/>
      <c r="F132" s="980"/>
      <c r="G132" s="980"/>
      <c r="H132" s="980"/>
      <c r="I132" s="980"/>
      <c r="J132" s="980"/>
      <c r="K132" s="980"/>
      <c r="L132" s="980"/>
      <c r="M132" s="981"/>
      <c r="N132" s="970"/>
    </row>
    <row r="133" spans="1:14" ht="21" customHeight="1">
      <c r="A133" s="965"/>
      <c r="B133" s="978" t="s">
        <v>1125</v>
      </c>
      <c r="C133" s="1103">
        <f>SUM('5.mell. '!G28)</f>
        <v>49686</v>
      </c>
      <c r="D133" s="979"/>
      <c r="E133" s="980"/>
      <c r="F133" s="980"/>
      <c r="G133" s="980"/>
      <c r="H133" s="980"/>
      <c r="I133" s="980"/>
      <c r="J133" s="980"/>
      <c r="K133" s="980"/>
      <c r="L133" s="980"/>
      <c r="M133" s="981"/>
      <c r="N133" s="970"/>
    </row>
    <row r="134" spans="1:14" ht="21" customHeight="1">
      <c r="A134" s="965" t="s">
        <v>641</v>
      </c>
      <c r="B134" s="977" t="s">
        <v>787</v>
      </c>
      <c r="C134" s="1102">
        <f>SUM(C135:C137)</f>
        <v>18956</v>
      </c>
      <c r="D134" s="968">
        <f>SUM(E134:M134)</f>
        <v>18956</v>
      </c>
      <c r="E134" s="982">
        <v>31</v>
      </c>
      <c r="F134" s="982">
        <v>13969</v>
      </c>
      <c r="G134" s="982"/>
      <c r="H134" s="980">
        <v>400</v>
      </c>
      <c r="I134" s="980"/>
      <c r="J134" s="980"/>
      <c r="K134" s="980"/>
      <c r="L134" s="982">
        <v>4556</v>
      </c>
      <c r="M134" s="981"/>
      <c r="N134" s="970"/>
    </row>
    <row r="135" spans="1:14" ht="21" customHeight="1">
      <c r="A135" s="965"/>
      <c r="B135" s="978" t="s">
        <v>788</v>
      </c>
      <c r="C135" s="1103">
        <f>SUM('3c.m.'!G211)</f>
        <v>13502</v>
      </c>
      <c r="D135" s="979"/>
      <c r="E135" s="980"/>
      <c r="F135" s="980"/>
      <c r="G135" s="980"/>
      <c r="H135" s="980"/>
      <c r="I135" s="980"/>
      <c r="J135" s="980"/>
      <c r="K135" s="980"/>
      <c r="L135" s="980"/>
      <c r="M135" s="981"/>
      <c r="N135" s="970"/>
    </row>
    <row r="136" spans="1:14" ht="21" customHeight="1">
      <c r="A136" s="965"/>
      <c r="B136" s="978" t="s">
        <v>789</v>
      </c>
      <c r="C136" s="1103">
        <f>SUM('3c.m.'!G625)</f>
        <v>4442</v>
      </c>
      <c r="D136" s="979"/>
      <c r="E136" s="980"/>
      <c r="F136" s="980"/>
      <c r="G136" s="980"/>
      <c r="H136" s="980"/>
      <c r="I136" s="980"/>
      <c r="J136" s="980"/>
      <c r="K136" s="980"/>
      <c r="L136" s="980"/>
      <c r="M136" s="981"/>
      <c r="N136" s="970"/>
    </row>
    <row r="137" spans="1:14" ht="21" customHeight="1">
      <c r="A137" s="965"/>
      <c r="B137" s="978" t="s">
        <v>790</v>
      </c>
      <c r="C137" s="1103">
        <f>SUM('3c.m.'!G790)</f>
        <v>1012</v>
      </c>
      <c r="D137" s="979"/>
      <c r="E137" s="980"/>
      <c r="F137" s="980"/>
      <c r="G137" s="980"/>
      <c r="H137" s="980"/>
      <c r="I137" s="980"/>
      <c r="J137" s="980"/>
      <c r="K137" s="980"/>
      <c r="L137" s="980"/>
      <c r="M137" s="981"/>
      <c r="N137" s="970"/>
    </row>
    <row r="138" spans="1:14" ht="21" customHeight="1">
      <c r="A138" s="989"/>
      <c r="B138" s="977" t="s">
        <v>791</v>
      </c>
      <c r="C138" s="1102">
        <f>SUM('3c.m.'!G195)</f>
        <v>121779</v>
      </c>
      <c r="D138" s="968">
        <f>SUM(E138:N138)</f>
        <v>121779</v>
      </c>
      <c r="E138" s="980"/>
      <c r="F138" s="982">
        <v>121674</v>
      </c>
      <c r="G138" s="982"/>
      <c r="H138" s="980"/>
      <c r="I138" s="980"/>
      <c r="J138" s="980"/>
      <c r="K138" s="980"/>
      <c r="L138" s="982">
        <v>105</v>
      </c>
      <c r="M138" s="981"/>
      <c r="N138" s="970"/>
    </row>
    <row r="139" spans="1:14" ht="21" customHeight="1">
      <c r="A139" s="989"/>
      <c r="B139" s="977"/>
      <c r="C139" s="1102"/>
      <c r="D139" s="979"/>
      <c r="E139" s="980"/>
      <c r="F139" s="980"/>
      <c r="G139" s="980"/>
      <c r="H139" s="980"/>
      <c r="I139" s="980"/>
      <c r="J139" s="980"/>
      <c r="K139" s="980"/>
      <c r="L139" s="980"/>
      <c r="M139" s="981"/>
      <c r="N139" s="970"/>
    </row>
    <row r="140" spans="1:14" ht="21" customHeight="1">
      <c r="A140" s="989"/>
      <c r="B140" s="977" t="s">
        <v>792</v>
      </c>
      <c r="C140" s="1102">
        <f>SUM('3c.m.'!G203)</f>
        <v>138167</v>
      </c>
      <c r="D140" s="968">
        <f aca="true" t="shared" si="0" ref="D140:D157">SUM(E140:N140)</f>
        <v>138167</v>
      </c>
      <c r="E140" s="980"/>
      <c r="F140" s="982">
        <v>116462</v>
      </c>
      <c r="G140" s="982"/>
      <c r="H140" s="982"/>
      <c r="I140" s="980"/>
      <c r="J140" s="980"/>
      <c r="K140" s="980"/>
      <c r="L140" s="982">
        <v>21705</v>
      </c>
      <c r="M140" s="981"/>
      <c r="N140" s="970"/>
    </row>
    <row r="141" spans="1:14" ht="30" customHeight="1">
      <c r="A141" s="989"/>
      <c r="B141" s="1137" t="s">
        <v>793</v>
      </c>
      <c r="C141" s="1102">
        <f>SUM('3a.m.'!G65)-'12.mell'!C10-'13.mell'!C10</f>
        <v>1957407</v>
      </c>
      <c r="D141" s="968">
        <f t="shared" si="0"/>
        <v>1957407</v>
      </c>
      <c r="E141" s="982">
        <v>1928</v>
      </c>
      <c r="F141" s="982">
        <v>1746769</v>
      </c>
      <c r="G141" s="982"/>
      <c r="H141" s="982">
        <v>14127</v>
      </c>
      <c r="I141" s="980"/>
      <c r="J141" s="980"/>
      <c r="K141" s="980"/>
      <c r="L141" s="982">
        <v>186583</v>
      </c>
      <c r="M141" s="985"/>
      <c r="N141" s="990">
        <v>8000</v>
      </c>
    </row>
    <row r="142" spans="1:14" ht="21" customHeight="1">
      <c r="A142" s="989"/>
      <c r="B142" s="977" t="s">
        <v>794</v>
      </c>
      <c r="C142" s="1102">
        <f>SUM('3c.m.'!G253)</f>
        <v>77939</v>
      </c>
      <c r="D142" s="968">
        <f t="shared" si="0"/>
        <v>77939</v>
      </c>
      <c r="E142" s="980"/>
      <c r="F142" s="982">
        <v>67428</v>
      </c>
      <c r="G142" s="982"/>
      <c r="H142" s="980"/>
      <c r="I142" s="980"/>
      <c r="J142" s="980"/>
      <c r="K142" s="980"/>
      <c r="L142" s="982">
        <v>10511</v>
      </c>
      <c r="M142" s="981"/>
      <c r="N142" s="990"/>
    </row>
    <row r="143" spans="1:14" ht="21" customHeight="1">
      <c r="A143" s="989"/>
      <c r="B143" s="977" t="s">
        <v>1142</v>
      </c>
      <c r="C143" s="1102">
        <f>SUM('3c.m.'!G135)</f>
        <v>23375</v>
      </c>
      <c r="D143" s="968">
        <f t="shared" si="0"/>
        <v>23375</v>
      </c>
      <c r="E143" s="980"/>
      <c r="F143" s="982"/>
      <c r="G143" s="982"/>
      <c r="H143" s="980"/>
      <c r="I143" s="980"/>
      <c r="J143" s="980"/>
      <c r="K143" s="980"/>
      <c r="L143" s="982">
        <v>23375</v>
      </c>
      <c r="M143" s="981"/>
      <c r="N143" s="990"/>
    </row>
    <row r="144" spans="1:14" ht="21" customHeight="1">
      <c r="A144" s="989"/>
      <c r="B144" s="977" t="s">
        <v>795</v>
      </c>
      <c r="C144" s="1102">
        <f>SUM('3c.m.'!G321)</f>
        <v>19103</v>
      </c>
      <c r="D144" s="968">
        <f t="shared" si="0"/>
        <v>19103</v>
      </c>
      <c r="E144" s="980"/>
      <c r="F144" s="982"/>
      <c r="G144" s="982">
        <v>19103</v>
      </c>
      <c r="H144" s="980"/>
      <c r="I144" s="980"/>
      <c r="J144" s="980"/>
      <c r="K144" s="980"/>
      <c r="L144" s="982"/>
      <c r="M144" s="981"/>
      <c r="N144" s="990"/>
    </row>
    <row r="145" spans="1:14" ht="21" customHeight="1">
      <c r="A145" s="989"/>
      <c r="B145" s="977" t="s">
        <v>796</v>
      </c>
      <c r="C145" s="1102">
        <f>SUM('3d.m.'!G15)</f>
        <v>471274</v>
      </c>
      <c r="D145" s="968">
        <f t="shared" si="0"/>
        <v>471274</v>
      </c>
      <c r="E145" s="980"/>
      <c r="F145" s="982">
        <v>464674</v>
      </c>
      <c r="G145" s="982"/>
      <c r="H145" s="980"/>
      <c r="I145" s="980"/>
      <c r="J145" s="980"/>
      <c r="K145" s="980"/>
      <c r="L145" s="982">
        <v>6600</v>
      </c>
      <c r="M145" s="981"/>
      <c r="N145" s="990"/>
    </row>
    <row r="146" spans="1:14" ht="21" customHeight="1">
      <c r="A146" s="989"/>
      <c r="B146" s="977" t="s">
        <v>797</v>
      </c>
      <c r="C146" s="1102">
        <f>SUM('1c.mell '!G74)</f>
        <v>30004</v>
      </c>
      <c r="D146" s="968">
        <f t="shared" si="0"/>
        <v>30004</v>
      </c>
      <c r="E146" s="980"/>
      <c r="F146" s="982">
        <v>30000</v>
      </c>
      <c r="G146" s="982"/>
      <c r="H146" s="980"/>
      <c r="I146" s="980"/>
      <c r="J146" s="980"/>
      <c r="K146" s="980"/>
      <c r="L146" s="982">
        <v>4</v>
      </c>
      <c r="M146" s="981"/>
      <c r="N146" s="990"/>
    </row>
    <row r="147" spans="1:14" ht="21" customHeight="1">
      <c r="A147" s="989"/>
      <c r="B147" s="977" t="s">
        <v>1191</v>
      </c>
      <c r="C147" s="1102">
        <f>SUM('1c.mell '!G76)</f>
        <v>6526</v>
      </c>
      <c r="D147" s="968">
        <f t="shared" si="0"/>
        <v>6526</v>
      </c>
      <c r="E147" s="980"/>
      <c r="F147" s="982">
        <v>6526</v>
      </c>
      <c r="G147" s="982"/>
      <c r="H147" s="980"/>
      <c r="I147" s="980"/>
      <c r="J147" s="980"/>
      <c r="K147" s="980"/>
      <c r="L147" s="982"/>
      <c r="M147" s="981"/>
      <c r="N147" s="990"/>
    </row>
    <row r="148" spans="1:14" ht="21" customHeight="1">
      <c r="A148" s="989"/>
      <c r="B148" s="977" t="s">
        <v>798</v>
      </c>
      <c r="C148" s="1102">
        <f>SUM('1c.mell '!G78)</f>
        <v>276139</v>
      </c>
      <c r="D148" s="968">
        <f t="shared" si="0"/>
        <v>276139</v>
      </c>
      <c r="E148" s="982"/>
      <c r="F148" s="982">
        <v>276139</v>
      </c>
      <c r="G148" s="982"/>
      <c r="H148" s="980"/>
      <c r="I148" s="980"/>
      <c r="J148" s="980"/>
      <c r="K148" s="980"/>
      <c r="L148" s="982"/>
      <c r="M148" s="981"/>
      <c r="N148" s="990"/>
    </row>
    <row r="149" spans="1:14" ht="21" customHeight="1">
      <c r="A149" s="989"/>
      <c r="B149" s="977" t="s">
        <v>799</v>
      </c>
      <c r="C149" s="1102">
        <f>SUM('1c.mell '!G80)</f>
        <v>247400</v>
      </c>
      <c r="D149" s="968">
        <f t="shared" si="0"/>
        <v>247400</v>
      </c>
      <c r="E149" s="980"/>
      <c r="F149" s="982">
        <v>197000</v>
      </c>
      <c r="G149" s="982"/>
      <c r="H149" s="980"/>
      <c r="I149" s="980"/>
      <c r="J149" s="980"/>
      <c r="K149" s="980"/>
      <c r="L149" s="982">
        <v>50400</v>
      </c>
      <c r="M149" s="981"/>
      <c r="N149" s="990"/>
    </row>
    <row r="150" spans="1:14" ht="21" customHeight="1">
      <c r="A150" s="989"/>
      <c r="B150" s="977" t="s">
        <v>1148</v>
      </c>
      <c r="C150" s="1102">
        <f>SUM('1c.mell '!G82)</f>
        <v>34940</v>
      </c>
      <c r="D150" s="968">
        <f t="shared" si="0"/>
        <v>34940</v>
      </c>
      <c r="E150" s="982">
        <v>18822</v>
      </c>
      <c r="F150" s="982">
        <v>4752</v>
      </c>
      <c r="G150" s="982"/>
      <c r="H150" s="980"/>
      <c r="I150" s="980"/>
      <c r="J150" s="980"/>
      <c r="K150" s="980"/>
      <c r="L150" s="982">
        <v>11366</v>
      </c>
      <c r="M150" s="981"/>
      <c r="N150" s="990"/>
    </row>
    <row r="151" spans="1:14" ht="21" customHeight="1">
      <c r="A151" s="989"/>
      <c r="B151" s="977" t="s">
        <v>800</v>
      </c>
      <c r="C151" s="1102">
        <f>SUM('1c.mell '!G113)</f>
        <v>48000</v>
      </c>
      <c r="D151" s="968">
        <f t="shared" si="0"/>
        <v>48000</v>
      </c>
      <c r="E151" s="980"/>
      <c r="F151" s="982">
        <v>48000</v>
      </c>
      <c r="G151" s="982"/>
      <c r="H151" s="980"/>
      <c r="I151" s="982"/>
      <c r="J151" s="980"/>
      <c r="K151" s="980"/>
      <c r="L151" s="982"/>
      <c r="M151" s="981"/>
      <c r="N151" s="990"/>
    </row>
    <row r="152" spans="1:14" ht="21" customHeight="1">
      <c r="A152" s="989"/>
      <c r="B152" s="977" t="s">
        <v>1123</v>
      </c>
      <c r="C152" s="1102">
        <f>SUM('1c.mell '!G104)</f>
        <v>87184</v>
      </c>
      <c r="D152" s="968">
        <f t="shared" si="0"/>
        <v>87184</v>
      </c>
      <c r="E152" s="980"/>
      <c r="F152" s="982"/>
      <c r="G152" s="982"/>
      <c r="H152" s="980"/>
      <c r="I152" s="982"/>
      <c r="J152" s="980"/>
      <c r="K152" s="980"/>
      <c r="L152" s="982">
        <v>87184</v>
      </c>
      <c r="M152" s="981"/>
      <c r="N152" s="990"/>
    </row>
    <row r="153" spans="1:14" ht="28.5" customHeight="1">
      <c r="A153" s="989"/>
      <c r="B153" s="1137" t="s">
        <v>801</v>
      </c>
      <c r="C153" s="1102">
        <f>SUM('1c.mell '!G71)</f>
        <v>18123</v>
      </c>
      <c r="D153" s="968">
        <f t="shared" si="0"/>
        <v>18123</v>
      </c>
      <c r="E153" s="980"/>
      <c r="F153" s="982">
        <v>18123</v>
      </c>
      <c r="G153" s="982"/>
      <c r="H153" s="980"/>
      <c r="I153" s="980"/>
      <c r="J153" s="980"/>
      <c r="K153" s="980"/>
      <c r="L153" s="982"/>
      <c r="M153" s="981"/>
      <c r="N153" s="990"/>
    </row>
    <row r="154" spans="1:14" ht="21" customHeight="1">
      <c r="A154" s="989"/>
      <c r="B154" s="977" t="s">
        <v>802</v>
      </c>
      <c r="C154" s="1102">
        <f>SUM('2.mell'!G393)</f>
        <v>1585780</v>
      </c>
      <c r="D154" s="968">
        <f t="shared" si="0"/>
        <v>1585780</v>
      </c>
      <c r="E154" s="982">
        <v>339553</v>
      </c>
      <c r="F154" s="982">
        <v>930677</v>
      </c>
      <c r="G154" s="982">
        <v>260720</v>
      </c>
      <c r="H154" s="982"/>
      <c r="I154" s="980"/>
      <c r="J154" s="980"/>
      <c r="K154" s="980"/>
      <c r="L154" s="982">
        <v>54830</v>
      </c>
      <c r="M154" s="981"/>
      <c r="N154" s="970"/>
    </row>
    <row r="155" spans="1:14" ht="21" customHeight="1">
      <c r="A155" s="965"/>
      <c r="B155" s="977" t="s">
        <v>803</v>
      </c>
      <c r="C155" s="1102">
        <f>SUM('2.mell'!G465)</f>
        <v>604164</v>
      </c>
      <c r="D155" s="968">
        <f t="shared" si="0"/>
        <v>604164</v>
      </c>
      <c r="E155" s="982">
        <v>273784</v>
      </c>
      <c r="F155" s="982">
        <v>304098</v>
      </c>
      <c r="G155" s="982">
        <v>23437</v>
      </c>
      <c r="H155" s="982"/>
      <c r="I155" s="980"/>
      <c r="J155" s="980"/>
      <c r="K155" s="980"/>
      <c r="L155" s="982">
        <v>2845</v>
      </c>
      <c r="M155" s="981"/>
      <c r="N155" s="970"/>
    </row>
    <row r="156" spans="1:14" ht="21" customHeight="1">
      <c r="A156" s="965"/>
      <c r="B156" s="977" t="s">
        <v>804</v>
      </c>
      <c r="C156" s="1102">
        <f>SUM('2.mell'!G500)</f>
        <v>829336</v>
      </c>
      <c r="D156" s="968">
        <f t="shared" si="0"/>
        <v>829336</v>
      </c>
      <c r="E156" s="982">
        <v>252268</v>
      </c>
      <c r="F156" s="982">
        <v>503068</v>
      </c>
      <c r="G156" s="982">
        <v>56953</v>
      </c>
      <c r="H156" s="982">
        <v>4875</v>
      </c>
      <c r="I156" s="980"/>
      <c r="J156" s="980"/>
      <c r="K156" s="980"/>
      <c r="L156" s="982">
        <v>12172</v>
      </c>
      <c r="M156" s="981"/>
      <c r="N156" s="970"/>
    </row>
    <row r="157" spans="1:14" ht="21" customHeight="1">
      <c r="A157" s="965"/>
      <c r="B157" s="977" t="s">
        <v>805</v>
      </c>
      <c r="C157" s="1102">
        <f>SUM('2.mell'!G573)-'12.mell'!C8</f>
        <v>273087</v>
      </c>
      <c r="D157" s="968">
        <f t="shared" si="0"/>
        <v>273087</v>
      </c>
      <c r="E157" s="982">
        <v>26853</v>
      </c>
      <c r="F157" s="982">
        <v>217100</v>
      </c>
      <c r="G157" s="982">
        <v>25808</v>
      </c>
      <c r="H157" s="982"/>
      <c r="I157" s="980"/>
      <c r="J157" s="982"/>
      <c r="K157" s="980"/>
      <c r="L157" s="982">
        <v>3326</v>
      </c>
      <c r="M157" s="985"/>
      <c r="N157" s="970"/>
    </row>
    <row r="158" spans="1:14" ht="21" customHeight="1">
      <c r="A158" s="965"/>
      <c r="B158" s="977"/>
      <c r="C158" s="1103"/>
      <c r="D158" s="979"/>
      <c r="E158" s="980"/>
      <c r="F158" s="980"/>
      <c r="G158" s="980"/>
      <c r="H158" s="980"/>
      <c r="I158" s="980"/>
      <c r="J158" s="980"/>
      <c r="K158" s="980"/>
      <c r="L158" s="980"/>
      <c r="M158" s="981"/>
      <c r="N158" s="970"/>
    </row>
    <row r="159" spans="1:15" ht="21" customHeight="1">
      <c r="A159" s="965"/>
      <c r="B159" s="991" t="s">
        <v>806</v>
      </c>
      <c r="C159" s="992">
        <f>SUM(C10+C30+C32+C35+C37+C54+C58+C68+C81+C84+C95+C119+C129+C134+C138+C140+C141+C142+C144+C145+C146+C148+C149+C151+C153+C154+C155+C156+C157+C152+C143+C150+C147)</f>
        <v>17058185</v>
      </c>
      <c r="D159" s="992">
        <f>SUM(D10+D30+D32+D35+D37+D54+D58+D68+D81+D84+D95+D119+D129+D134+D138+D140+D141+D142+D144+D145+D146+D148+D149+D151+D153+D154+D155+D156+D157+D152+D143+D150+D147)</f>
        <v>17058185</v>
      </c>
      <c r="E159" s="992">
        <f>SUM(E10+E30+E32+E35+E37+E54+E58+E68+E81+E84+E95+E119+E129+E134+E138+E140+E141+E142+E144+E145+E146+E148+E149+E151+E153+E154+E155+E156+E157+E152+E143+E150+E147)</f>
        <v>1975489</v>
      </c>
      <c r="F159" s="985">
        <f>SUM(F10+F30+F32+F35+F37+F54+F58+F68+F81+F84+F95+F119+F129+F134+F138+F140+F141+F142+F144+F145+F146+F148+F149+F151+F153+F154+F155+F156+F157+F152+F143+F150+F147)</f>
        <v>7995095</v>
      </c>
      <c r="G159" s="985">
        <f aca="true" t="shared" si="1" ref="G159:N159">SUM(G10+G30+G32+G35+G37+G54+G58+G68+G81+G84+G95+G119+G129+G134+G138+G140+G141+G142+G144+G145+G146+G148+G149+G151+G153+G154+G155+G156+G157+G152+G143+G150)</f>
        <v>1557748</v>
      </c>
      <c r="H159" s="985">
        <f t="shared" si="1"/>
        <v>25235</v>
      </c>
      <c r="I159" s="985">
        <f t="shared" si="1"/>
        <v>1885</v>
      </c>
      <c r="J159" s="985">
        <f t="shared" si="1"/>
        <v>0</v>
      </c>
      <c r="K159" s="985">
        <f t="shared" si="1"/>
        <v>235000</v>
      </c>
      <c r="L159" s="985">
        <f t="shared" si="1"/>
        <v>2975462</v>
      </c>
      <c r="M159" s="985">
        <f t="shared" si="1"/>
        <v>2284271</v>
      </c>
      <c r="N159" s="985">
        <f t="shared" si="1"/>
        <v>8000</v>
      </c>
      <c r="O159" s="993"/>
    </row>
    <row r="160" spans="1:14" ht="21" customHeight="1">
      <c r="A160" s="965"/>
      <c r="B160" s="977"/>
      <c r="C160" s="979"/>
      <c r="D160" s="979"/>
      <c r="E160" s="980"/>
      <c r="F160" s="980"/>
      <c r="G160" s="980"/>
      <c r="H160" s="980"/>
      <c r="I160" s="980"/>
      <c r="J160" s="980"/>
      <c r="K160" s="980"/>
      <c r="L160" s="980"/>
      <c r="M160" s="981"/>
      <c r="N160" s="970"/>
    </row>
    <row r="161" ht="12.75">
      <c r="F161" s="993"/>
    </row>
    <row r="162" ht="12.75">
      <c r="F162" s="993"/>
    </row>
    <row r="163" ht="12.75">
      <c r="F163" s="993"/>
    </row>
  </sheetData>
  <sheetProtection/>
  <mergeCells count="13"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  <mergeCell ref="N8:N9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59" r:id="rId1"/>
  <headerFooter alignWithMargins="0">
    <oddFooter>&amp;C&amp;P. oldal</oddFooter>
  </headerFooter>
  <rowBreaks count="1" manualBreakCount="1">
    <brk id="12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55">
      <selection activeCell="F9" sqref="F9"/>
    </sheetView>
  </sheetViews>
  <sheetFormatPr defaultColWidth="9.00390625" defaultRowHeight="12.75"/>
  <cols>
    <col min="1" max="1" width="7.625" style="957" customWidth="1"/>
    <col min="2" max="2" width="49.625" style="957" customWidth="1"/>
    <col min="3" max="3" width="13.875" style="957" customWidth="1"/>
    <col min="4" max="4" width="13.00390625" style="957" customWidth="1"/>
    <col min="5" max="5" width="11.125" style="957" customWidth="1"/>
    <col min="6" max="6" width="11.875" style="957" customWidth="1"/>
    <col min="7" max="7" width="12.125" style="957" customWidth="1"/>
    <col min="8" max="8" width="11.375" style="957" customWidth="1"/>
    <col min="9" max="9" width="10.625" style="957" bestFit="1" customWidth="1"/>
    <col min="10" max="10" width="11.125" style="957" customWidth="1"/>
    <col min="11" max="11" width="11.625" style="957" customWidth="1"/>
    <col min="12" max="12" width="10.875" style="957" customWidth="1"/>
    <col min="13" max="13" width="11.00390625" style="957" customWidth="1"/>
    <col min="14" max="16384" width="9.125" style="957" customWidth="1"/>
  </cols>
  <sheetData>
    <row r="1" spans="1:13" ht="12.75">
      <c r="A1" s="1470" t="s">
        <v>807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</row>
    <row r="2" spans="2:12" ht="18.75">
      <c r="B2" s="1471" t="s">
        <v>808</v>
      </c>
      <c r="C2" s="1471"/>
      <c r="D2" s="1471"/>
      <c r="E2" s="1471"/>
      <c r="F2" s="1471"/>
      <c r="G2" s="1471"/>
      <c r="H2" s="1471"/>
      <c r="I2" s="1471"/>
      <c r="J2" s="1471"/>
      <c r="K2" s="1471"/>
      <c r="L2" s="1471"/>
    </row>
    <row r="3" spans="2:12" ht="18.75">
      <c r="B3" s="1472" t="s">
        <v>1081</v>
      </c>
      <c r="C3" s="1472"/>
      <c r="D3" s="1472"/>
      <c r="E3" s="1472"/>
      <c r="F3" s="1472"/>
      <c r="G3" s="1472"/>
      <c r="H3" s="1472"/>
      <c r="I3" s="1472"/>
      <c r="J3" s="1472"/>
      <c r="K3" s="1472"/>
      <c r="L3" s="1472"/>
    </row>
    <row r="4" spans="3:13" ht="9.75" customHeight="1">
      <c r="C4" s="994"/>
      <c r="F4" s="995"/>
      <c r="G4" s="995"/>
      <c r="H4" s="995"/>
      <c r="I4" s="995"/>
      <c r="J4" s="995"/>
      <c r="K4" s="995"/>
      <c r="L4" s="995"/>
      <c r="M4" s="960" t="s">
        <v>385</v>
      </c>
    </row>
    <row r="5" spans="1:13" ht="27" customHeight="1">
      <c r="A5" s="996"/>
      <c r="B5" s="1468" t="s">
        <v>809</v>
      </c>
      <c r="C5" s="1457" t="s">
        <v>1229</v>
      </c>
      <c r="D5" s="1468" t="s">
        <v>810</v>
      </c>
      <c r="E5" s="1457" t="s">
        <v>681</v>
      </c>
      <c r="F5" s="1457" t="s">
        <v>687</v>
      </c>
      <c r="G5" s="1468" t="s">
        <v>683</v>
      </c>
      <c r="H5" s="1468"/>
      <c r="I5" s="1468" t="s">
        <v>684</v>
      </c>
      <c r="J5" s="1468"/>
      <c r="K5" s="1468" t="s">
        <v>811</v>
      </c>
      <c r="L5" s="1457" t="s">
        <v>812</v>
      </c>
      <c r="M5" s="1468" t="s">
        <v>813</v>
      </c>
    </row>
    <row r="6" spans="1:13" ht="41.25" customHeight="1">
      <c r="A6" s="998"/>
      <c r="B6" s="1468"/>
      <c r="C6" s="1473"/>
      <c r="D6" s="1468"/>
      <c r="E6" s="1473"/>
      <c r="F6" s="1269"/>
      <c r="G6" s="997" t="s">
        <v>814</v>
      </c>
      <c r="H6" s="997" t="s">
        <v>815</v>
      </c>
      <c r="I6" s="997" t="s">
        <v>816</v>
      </c>
      <c r="J6" s="997" t="s">
        <v>815</v>
      </c>
      <c r="K6" s="1468"/>
      <c r="L6" s="1469"/>
      <c r="M6" s="1468"/>
    </row>
    <row r="7" spans="1:13" ht="18" customHeight="1">
      <c r="A7" s="1001">
        <v>1976</v>
      </c>
      <c r="B7" s="1002" t="s">
        <v>817</v>
      </c>
      <c r="C7" s="1104">
        <f>SUM('1c.mell '!G150)</f>
        <v>2000000</v>
      </c>
      <c r="D7" s="1003">
        <f>SUM(E7:M7)</f>
        <v>2000000</v>
      </c>
      <c r="E7" s="999"/>
      <c r="F7" s="857"/>
      <c r="G7" s="997"/>
      <c r="H7" s="997"/>
      <c r="I7" s="997"/>
      <c r="J7" s="997"/>
      <c r="K7" s="997"/>
      <c r="L7" s="1000"/>
      <c r="M7" s="1107">
        <v>2000000</v>
      </c>
    </row>
    <row r="8" spans="1:13" ht="18" customHeight="1">
      <c r="A8" s="1001">
        <v>2985</v>
      </c>
      <c r="B8" s="1004" t="s">
        <v>1087</v>
      </c>
      <c r="C8" s="1105">
        <f>SUM('2.mell'!G568)</f>
        <v>38548</v>
      </c>
      <c r="D8" s="1003">
        <f aca="true" t="shared" si="0" ref="D8:D71">SUM(E8:M8)</f>
        <v>38548</v>
      </c>
      <c r="E8" s="1003"/>
      <c r="F8" s="1005">
        <v>38548</v>
      </c>
      <c r="G8" s="1004"/>
      <c r="H8" s="1004"/>
      <c r="I8" s="1004"/>
      <c r="J8" s="1004"/>
      <c r="K8" s="1004"/>
      <c r="L8" s="1004"/>
      <c r="M8" s="1006"/>
    </row>
    <row r="9" spans="1:13" ht="18" customHeight="1">
      <c r="A9" s="1001">
        <v>2985</v>
      </c>
      <c r="B9" s="1004" t="s">
        <v>439</v>
      </c>
      <c r="C9" s="1105">
        <f>SUM('2.mell'!G607)</f>
        <v>155775</v>
      </c>
      <c r="D9" s="1003">
        <f t="shared" si="0"/>
        <v>155775</v>
      </c>
      <c r="E9" s="1003">
        <v>143233</v>
      </c>
      <c r="F9" s="1005"/>
      <c r="G9" s="1004">
        <v>12542</v>
      </c>
      <c r="H9" s="1004"/>
      <c r="I9" s="1004"/>
      <c r="J9" s="1004"/>
      <c r="K9" s="1004"/>
      <c r="L9" s="1004"/>
      <c r="M9" s="1006"/>
    </row>
    <row r="10" spans="1:13" ht="18" customHeight="1">
      <c r="A10" s="1007">
        <v>3011</v>
      </c>
      <c r="B10" s="1008" t="s">
        <v>119</v>
      </c>
      <c r="C10" s="1106">
        <f>SUM('3a.m.'!G19)</f>
        <v>8844</v>
      </c>
      <c r="D10" s="1003">
        <f t="shared" si="0"/>
        <v>8844</v>
      </c>
      <c r="E10" s="1003"/>
      <c r="F10" s="1009">
        <v>8786</v>
      </c>
      <c r="G10" s="997"/>
      <c r="H10" s="997"/>
      <c r="I10" s="997"/>
      <c r="J10" s="997"/>
      <c r="K10" s="1010">
        <v>58</v>
      </c>
      <c r="L10" s="997"/>
      <c r="M10" s="1011"/>
    </row>
    <row r="11" spans="1:13" ht="18" customHeight="1">
      <c r="A11" s="1012">
        <v>3052</v>
      </c>
      <c r="B11" s="1013" t="s">
        <v>23</v>
      </c>
      <c r="C11" s="1105">
        <f>SUM('3c.m.'!G17)</f>
        <v>8258</v>
      </c>
      <c r="D11" s="1003">
        <f t="shared" si="0"/>
        <v>8258</v>
      </c>
      <c r="E11" s="1003">
        <v>5000</v>
      </c>
      <c r="F11" s="1003"/>
      <c r="G11" s="1014"/>
      <c r="H11" s="1014"/>
      <c r="I11" s="1014"/>
      <c r="J11" s="1014"/>
      <c r="K11" s="1015">
        <v>3258</v>
      </c>
      <c r="L11" s="1014"/>
      <c r="M11" s="1006"/>
    </row>
    <row r="12" spans="1:13" ht="18" customHeight="1">
      <c r="A12" s="1012">
        <v>3141</v>
      </c>
      <c r="B12" s="1013" t="s">
        <v>141</v>
      </c>
      <c r="C12" s="1105">
        <f>SUM('3c.m.'!G144)</f>
        <v>8500</v>
      </c>
      <c r="D12" s="1003">
        <f t="shared" si="0"/>
        <v>8500</v>
      </c>
      <c r="E12" s="1003">
        <v>8500</v>
      </c>
      <c r="F12" s="1016"/>
      <c r="G12" s="1017"/>
      <c r="H12" s="1017"/>
      <c r="I12" s="1017"/>
      <c r="J12" s="1017"/>
      <c r="K12" s="1017"/>
      <c r="L12" s="1017"/>
      <c r="M12" s="1006"/>
    </row>
    <row r="13" spans="1:13" ht="18" customHeight="1">
      <c r="A13" s="1001">
        <v>3144</v>
      </c>
      <c r="B13" s="1018" t="s">
        <v>407</v>
      </c>
      <c r="C13" s="1105">
        <f>SUM('3c.m.'!G169)</f>
        <v>1500</v>
      </c>
      <c r="D13" s="1003">
        <f t="shared" si="0"/>
        <v>1500</v>
      </c>
      <c r="E13" s="1003">
        <v>1500</v>
      </c>
      <c r="F13" s="1016"/>
      <c r="G13" s="1017"/>
      <c r="H13" s="1017"/>
      <c r="I13" s="1017"/>
      <c r="J13" s="1017"/>
      <c r="K13" s="1017"/>
      <c r="L13" s="1017"/>
      <c r="M13" s="1006"/>
    </row>
    <row r="14" spans="1:13" ht="18" customHeight="1">
      <c r="A14" s="1012">
        <v>3207</v>
      </c>
      <c r="B14" s="1013" t="s">
        <v>305</v>
      </c>
      <c r="C14" s="1105">
        <f>SUM('3c.m.'!G245)</f>
        <v>28590</v>
      </c>
      <c r="D14" s="1003">
        <f t="shared" si="0"/>
        <v>28590</v>
      </c>
      <c r="E14" s="1003">
        <v>26500</v>
      </c>
      <c r="F14" s="1016"/>
      <c r="G14" s="1017"/>
      <c r="H14" s="1017"/>
      <c r="I14" s="1017"/>
      <c r="J14" s="1017"/>
      <c r="K14" s="1017">
        <v>2090</v>
      </c>
      <c r="L14" s="1017"/>
      <c r="M14" s="1006"/>
    </row>
    <row r="15" spans="1:13" ht="18" customHeight="1">
      <c r="A15" s="1012">
        <v>3209</v>
      </c>
      <c r="B15" s="1013" t="s">
        <v>819</v>
      </c>
      <c r="C15" s="1105">
        <f>SUM('3c.m.'!G262)</f>
        <v>10000</v>
      </c>
      <c r="D15" s="1003">
        <f t="shared" si="0"/>
        <v>10000</v>
      </c>
      <c r="E15" s="1003"/>
      <c r="F15" s="1016">
        <v>10000</v>
      </c>
      <c r="G15" s="1017"/>
      <c r="H15" s="1017"/>
      <c r="I15" s="1017"/>
      <c r="J15" s="1017"/>
      <c r="K15" s="1017"/>
      <c r="L15" s="1017"/>
      <c r="M15" s="1006"/>
    </row>
    <row r="16" spans="1:13" ht="18" customHeight="1">
      <c r="A16" s="1012">
        <v>3224</v>
      </c>
      <c r="B16" s="1013" t="s">
        <v>1124</v>
      </c>
      <c r="C16" s="1105">
        <f>SUM('3c.m.'!G329)</f>
        <v>24000</v>
      </c>
      <c r="D16" s="1003">
        <f t="shared" si="0"/>
        <v>24000</v>
      </c>
      <c r="E16" s="1003"/>
      <c r="F16" s="1016">
        <v>12000</v>
      </c>
      <c r="G16" s="1017"/>
      <c r="H16" s="1017"/>
      <c r="I16" s="1017"/>
      <c r="J16" s="1017"/>
      <c r="K16" s="1017">
        <v>12000</v>
      </c>
      <c r="L16" s="1017"/>
      <c r="M16" s="1006"/>
    </row>
    <row r="17" spans="1:13" ht="18" customHeight="1">
      <c r="A17" s="1012">
        <v>3302</v>
      </c>
      <c r="B17" s="1019" t="s">
        <v>403</v>
      </c>
      <c r="C17" s="1136">
        <v>137000</v>
      </c>
      <c r="D17" s="1003">
        <f t="shared" si="0"/>
        <v>137000</v>
      </c>
      <c r="E17" s="1003">
        <v>137000</v>
      </c>
      <c r="F17" s="1016"/>
      <c r="G17" s="1017"/>
      <c r="H17" s="1017"/>
      <c r="I17" s="1017"/>
      <c r="J17" s="1017"/>
      <c r="K17" s="1017"/>
      <c r="L17" s="1017"/>
      <c r="M17" s="1006"/>
    </row>
    <row r="18" spans="1:13" ht="18" customHeight="1">
      <c r="A18" s="1012">
        <v>3305</v>
      </c>
      <c r="B18" s="1013" t="s">
        <v>211</v>
      </c>
      <c r="C18" s="1105">
        <f>SUM('3c.m.'!G355)</f>
        <v>11000</v>
      </c>
      <c r="D18" s="1003">
        <f t="shared" si="0"/>
        <v>11000</v>
      </c>
      <c r="E18" s="1003">
        <v>11000</v>
      </c>
      <c r="F18" s="1016"/>
      <c r="G18" s="1017"/>
      <c r="H18" s="1017"/>
      <c r="I18" s="1017"/>
      <c r="J18" s="1017"/>
      <c r="K18" s="1017"/>
      <c r="L18" s="1017"/>
      <c r="M18" s="1006"/>
    </row>
    <row r="19" spans="1:13" ht="18" customHeight="1">
      <c r="A19" s="1012">
        <v>3306</v>
      </c>
      <c r="B19" s="1013" t="s">
        <v>212</v>
      </c>
      <c r="C19" s="1105">
        <f>SUM('3c.m.'!G364)</f>
        <v>5030</v>
      </c>
      <c r="D19" s="1003">
        <f t="shared" si="0"/>
        <v>5030</v>
      </c>
      <c r="E19" s="1003">
        <v>5000</v>
      </c>
      <c r="F19" s="1016"/>
      <c r="G19" s="1017"/>
      <c r="H19" s="1017"/>
      <c r="I19" s="1017"/>
      <c r="J19" s="1017"/>
      <c r="K19" s="1017">
        <v>30</v>
      </c>
      <c r="L19" s="1017"/>
      <c r="M19" s="1006"/>
    </row>
    <row r="20" spans="1:13" ht="18" customHeight="1">
      <c r="A20" s="1012">
        <v>3307</v>
      </c>
      <c r="B20" s="1013" t="s">
        <v>213</v>
      </c>
      <c r="C20" s="1105">
        <f>SUM('3c.m.'!G373)</f>
        <v>4000</v>
      </c>
      <c r="D20" s="1003">
        <f t="shared" si="0"/>
        <v>4000</v>
      </c>
      <c r="E20" s="1003">
        <v>4000</v>
      </c>
      <c r="F20" s="1016"/>
      <c r="G20" s="1017"/>
      <c r="H20" s="1017"/>
      <c r="I20" s="1017"/>
      <c r="J20" s="1017"/>
      <c r="K20" s="1017"/>
      <c r="L20" s="1017"/>
      <c r="M20" s="1006"/>
    </row>
    <row r="21" spans="1:13" ht="18" customHeight="1">
      <c r="A21" s="1012">
        <v>3310</v>
      </c>
      <c r="B21" s="1013" t="s">
        <v>423</v>
      </c>
      <c r="C21" s="1105">
        <f>SUM('3c.m.'!G381)</f>
        <v>7000</v>
      </c>
      <c r="D21" s="1003">
        <f t="shared" si="0"/>
        <v>7000</v>
      </c>
      <c r="E21" s="1003"/>
      <c r="F21" s="1016">
        <v>7000</v>
      </c>
      <c r="G21" s="1017"/>
      <c r="H21" s="1017"/>
      <c r="I21" s="1017"/>
      <c r="J21" s="1017"/>
      <c r="K21" s="1017"/>
      <c r="L21" s="1017"/>
      <c r="M21" s="1006"/>
    </row>
    <row r="22" spans="1:13" ht="18" customHeight="1">
      <c r="A22" s="1012">
        <v>3312</v>
      </c>
      <c r="B22" s="1013" t="s">
        <v>405</v>
      </c>
      <c r="C22" s="1105">
        <f>SUM('3c.m.'!G397)</f>
        <v>20074</v>
      </c>
      <c r="D22" s="1003">
        <f t="shared" si="0"/>
        <v>20074</v>
      </c>
      <c r="E22" s="1003"/>
      <c r="F22" s="1016">
        <v>20000</v>
      </c>
      <c r="G22" s="1017"/>
      <c r="H22" s="1017"/>
      <c r="I22" s="1017"/>
      <c r="J22" s="1017"/>
      <c r="K22" s="1017">
        <v>74</v>
      </c>
      <c r="L22" s="1017"/>
      <c r="M22" s="1006"/>
    </row>
    <row r="23" spans="1:13" ht="18" customHeight="1">
      <c r="A23" s="1012">
        <v>3313</v>
      </c>
      <c r="B23" s="1020" t="s">
        <v>10</v>
      </c>
      <c r="C23" s="1105">
        <f>SUM('3c.m.'!G405)</f>
        <v>9500</v>
      </c>
      <c r="D23" s="1003">
        <f t="shared" si="0"/>
        <v>9500</v>
      </c>
      <c r="E23" s="1003">
        <v>9500</v>
      </c>
      <c r="F23" s="1016"/>
      <c r="G23" s="1017"/>
      <c r="H23" s="1017"/>
      <c r="I23" s="1017"/>
      <c r="J23" s="1017"/>
      <c r="K23" s="1017"/>
      <c r="L23" s="1017"/>
      <c r="M23" s="1006"/>
    </row>
    <row r="24" spans="1:13" ht="18" customHeight="1">
      <c r="A24" s="1012">
        <v>3315</v>
      </c>
      <c r="B24" s="1020" t="s">
        <v>11</v>
      </c>
      <c r="C24" s="1105">
        <f>SUM('3c.m.'!G413)</f>
        <v>12000</v>
      </c>
      <c r="D24" s="1003">
        <f t="shared" si="0"/>
        <v>12000</v>
      </c>
      <c r="E24" s="1003">
        <v>12000</v>
      </c>
      <c r="F24" s="1016"/>
      <c r="G24" s="1017"/>
      <c r="H24" s="1017"/>
      <c r="I24" s="1017"/>
      <c r="J24" s="1017"/>
      <c r="K24" s="1017"/>
      <c r="L24" s="1017"/>
      <c r="M24" s="1006"/>
    </row>
    <row r="25" spans="1:13" ht="18" customHeight="1">
      <c r="A25" s="1012">
        <v>3316</v>
      </c>
      <c r="B25" s="1020" t="s">
        <v>144</v>
      </c>
      <c r="C25" s="1105">
        <f>SUM('3c.m.'!G421)</f>
        <v>6000</v>
      </c>
      <c r="D25" s="1003">
        <f t="shared" si="0"/>
        <v>6000</v>
      </c>
      <c r="E25" s="1003">
        <v>6000</v>
      </c>
      <c r="F25" s="1016"/>
      <c r="G25" s="1017"/>
      <c r="H25" s="1017"/>
      <c r="I25" s="1017"/>
      <c r="J25" s="1017"/>
      <c r="K25" s="1017"/>
      <c r="L25" s="1017"/>
      <c r="M25" s="1006"/>
    </row>
    <row r="26" spans="1:13" ht="18" customHeight="1">
      <c r="A26" s="1012">
        <v>3317</v>
      </c>
      <c r="B26" s="1021" t="s">
        <v>406</v>
      </c>
      <c r="C26" s="1105">
        <f>SUM('3c.m.'!G429)</f>
        <v>90159</v>
      </c>
      <c r="D26" s="1003">
        <f t="shared" si="0"/>
        <v>90159</v>
      </c>
      <c r="E26" s="1003"/>
      <c r="F26" s="1016">
        <v>90000</v>
      </c>
      <c r="G26" s="1017"/>
      <c r="H26" s="1017"/>
      <c r="I26" s="1017"/>
      <c r="J26" s="1017"/>
      <c r="K26" s="1017">
        <v>159</v>
      </c>
      <c r="L26" s="1017"/>
      <c r="M26" s="1006"/>
    </row>
    <row r="27" spans="1:13" ht="18" customHeight="1">
      <c r="A27" s="1012">
        <v>3322</v>
      </c>
      <c r="B27" s="1013" t="s">
        <v>421</v>
      </c>
      <c r="C27" s="1105">
        <f>SUM('3c.m.'!G455)</f>
        <v>9542</v>
      </c>
      <c r="D27" s="1003">
        <f t="shared" si="0"/>
        <v>9542</v>
      </c>
      <c r="E27" s="1003">
        <v>9500</v>
      </c>
      <c r="F27" s="1016"/>
      <c r="G27" s="1017"/>
      <c r="H27" s="1017"/>
      <c r="I27" s="1017"/>
      <c r="J27" s="1017"/>
      <c r="K27" s="1017">
        <v>42</v>
      </c>
      <c r="L27" s="1017"/>
      <c r="M27" s="1006"/>
    </row>
    <row r="28" spans="1:13" ht="18" customHeight="1">
      <c r="A28" s="1012">
        <v>3324</v>
      </c>
      <c r="B28" s="1013" t="s">
        <v>482</v>
      </c>
      <c r="C28" s="1105">
        <f>SUM('3c.m.'!G471)</f>
        <v>2000</v>
      </c>
      <c r="D28" s="1003">
        <f t="shared" si="0"/>
        <v>2000</v>
      </c>
      <c r="E28" s="1003">
        <v>2000</v>
      </c>
      <c r="F28" s="1016"/>
      <c r="G28" s="1017"/>
      <c r="H28" s="1017"/>
      <c r="I28" s="1017"/>
      <c r="J28" s="1017"/>
      <c r="K28" s="1017"/>
      <c r="L28" s="1017"/>
      <c r="M28" s="1006"/>
    </row>
    <row r="29" spans="1:13" ht="18" customHeight="1">
      <c r="A29" s="1012">
        <v>3350</v>
      </c>
      <c r="B29" s="1013" t="s">
        <v>309</v>
      </c>
      <c r="C29" s="1105">
        <f>SUM('3c.m.'!G560)</f>
        <v>100</v>
      </c>
      <c r="D29" s="1003">
        <f t="shared" si="0"/>
        <v>100</v>
      </c>
      <c r="E29" s="1003">
        <v>100</v>
      </c>
      <c r="F29" s="1016"/>
      <c r="G29" s="1017"/>
      <c r="H29" s="1017"/>
      <c r="I29" s="1017"/>
      <c r="J29" s="1017"/>
      <c r="K29" s="1017"/>
      <c r="L29" s="1017"/>
      <c r="M29" s="1006"/>
    </row>
    <row r="30" spans="1:13" ht="18" customHeight="1">
      <c r="A30" s="1012">
        <v>3351</v>
      </c>
      <c r="B30" s="1013" t="s">
        <v>422</v>
      </c>
      <c r="C30" s="1105">
        <f>SUM('3c.m.'!G568)</f>
        <v>20000</v>
      </c>
      <c r="D30" s="1003">
        <f t="shared" si="0"/>
        <v>20000</v>
      </c>
      <c r="E30" s="1003"/>
      <c r="F30" s="1016">
        <v>20000</v>
      </c>
      <c r="G30" s="1017"/>
      <c r="H30" s="1017"/>
      <c r="I30" s="1017"/>
      <c r="J30" s="1017"/>
      <c r="K30" s="1017"/>
      <c r="L30" s="1017"/>
      <c r="M30" s="1006"/>
    </row>
    <row r="31" spans="1:13" ht="18" customHeight="1">
      <c r="A31" s="1012">
        <v>3352</v>
      </c>
      <c r="B31" s="1013" t="s">
        <v>504</v>
      </c>
      <c r="C31" s="1105">
        <f>SUM('3c.m.'!G577)</f>
        <v>21010</v>
      </c>
      <c r="D31" s="1003">
        <f t="shared" si="0"/>
        <v>21010</v>
      </c>
      <c r="E31" s="1003"/>
      <c r="F31" s="1016">
        <v>18000</v>
      </c>
      <c r="G31" s="1017"/>
      <c r="H31" s="1017"/>
      <c r="I31" s="1017"/>
      <c r="J31" s="1017"/>
      <c r="K31" s="1017">
        <v>3010</v>
      </c>
      <c r="L31" s="1017"/>
      <c r="M31" s="1006"/>
    </row>
    <row r="32" spans="1:13" ht="18" customHeight="1">
      <c r="A32" s="1012">
        <v>3355</v>
      </c>
      <c r="B32" s="1013" t="s">
        <v>41</v>
      </c>
      <c r="C32" s="1105">
        <f>SUM('3c.m.'!G585)</f>
        <v>14029</v>
      </c>
      <c r="D32" s="1003">
        <f t="shared" si="0"/>
        <v>14029</v>
      </c>
      <c r="E32" s="1003">
        <v>11000</v>
      </c>
      <c r="F32" s="1016"/>
      <c r="G32" s="1017"/>
      <c r="H32" s="1017"/>
      <c r="I32" s="1017"/>
      <c r="J32" s="1017"/>
      <c r="K32" s="1017">
        <v>3029</v>
      </c>
      <c r="L32" s="1017"/>
      <c r="M32" s="1006"/>
    </row>
    <row r="33" spans="1:13" ht="24.75" customHeight="1">
      <c r="A33" s="1012">
        <v>3356</v>
      </c>
      <c r="B33" s="1022" t="s">
        <v>820</v>
      </c>
      <c r="C33" s="1105">
        <f>SUM('3c.m.'!G593)</f>
        <v>16293</v>
      </c>
      <c r="D33" s="1003">
        <f t="shared" si="0"/>
        <v>16293</v>
      </c>
      <c r="E33" s="1003">
        <v>15000</v>
      </c>
      <c r="F33" s="1016"/>
      <c r="G33" s="1017"/>
      <c r="H33" s="1017"/>
      <c r="I33" s="1017"/>
      <c r="J33" s="1017"/>
      <c r="K33" s="1017">
        <v>1293</v>
      </c>
      <c r="L33" s="1017"/>
      <c r="M33" s="1006"/>
    </row>
    <row r="34" spans="1:13" ht="18" customHeight="1">
      <c r="A34" s="1012">
        <v>3358</v>
      </c>
      <c r="B34" s="1013" t="s">
        <v>821</v>
      </c>
      <c r="C34" s="1105">
        <f>SUM('3c.m.'!G609)</f>
        <v>1000</v>
      </c>
      <c r="D34" s="1003">
        <f t="shared" si="0"/>
        <v>1000</v>
      </c>
      <c r="E34" s="1003">
        <v>1000</v>
      </c>
      <c r="F34" s="1016"/>
      <c r="G34" s="1017"/>
      <c r="H34" s="1017"/>
      <c r="I34" s="1017"/>
      <c r="J34" s="1017"/>
      <c r="K34" s="1017"/>
      <c r="L34" s="1017"/>
      <c r="M34" s="1006"/>
    </row>
    <row r="35" spans="1:13" ht="18" customHeight="1">
      <c r="A35" s="1012">
        <v>3360</v>
      </c>
      <c r="B35" s="1013" t="s">
        <v>410</v>
      </c>
      <c r="C35" s="1105">
        <f>SUM('3c.m.'!G617)</f>
        <v>2286</v>
      </c>
      <c r="D35" s="1003">
        <f t="shared" si="0"/>
        <v>2286</v>
      </c>
      <c r="E35" s="1003"/>
      <c r="F35" s="1016">
        <v>2000</v>
      </c>
      <c r="G35" s="1017"/>
      <c r="H35" s="1017"/>
      <c r="I35" s="1017"/>
      <c r="J35" s="1017"/>
      <c r="K35" s="1017">
        <v>286</v>
      </c>
      <c r="L35" s="1017"/>
      <c r="M35" s="1006"/>
    </row>
    <row r="36" spans="1:13" ht="18" customHeight="1">
      <c r="A36" s="1012">
        <v>3416</v>
      </c>
      <c r="B36" s="1013" t="s">
        <v>182</v>
      </c>
      <c r="C36" s="1105">
        <f>SUM('3c.m.'!G668)</f>
        <v>20000</v>
      </c>
      <c r="D36" s="1003">
        <f t="shared" si="0"/>
        <v>20000</v>
      </c>
      <c r="E36" s="1003"/>
      <c r="F36" s="1016">
        <v>20000</v>
      </c>
      <c r="G36" s="1017"/>
      <c r="H36" s="1017"/>
      <c r="I36" s="1017"/>
      <c r="J36" s="1017"/>
      <c r="K36" s="1017"/>
      <c r="L36" s="1017"/>
      <c r="M36" s="1006"/>
    </row>
    <row r="37" spans="1:13" ht="18" customHeight="1">
      <c r="A37" s="1012">
        <v>3421</v>
      </c>
      <c r="B37" s="1013" t="s">
        <v>426</v>
      </c>
      <c r="C37" s="1105">
        <f>SUM('3c.m.'!G677)</f>
        <v>4000</v>
      </c>
      <c r="D37" s="1003">
        <f t="shared" si="0"/>
        <v>4000</v>
      </c>
      <c r="E37" s="1003"/>
      <c r="F37" s="1016">
        <v>4000</v>
      </c>
      <c r="G37" s="1017"/>
      <c r="H37" s="1017"/>
      <c r="I37" s="1017"/>
      <c r="J37" s="1017"/>
      <c r="K37" s="1017"/>
      <c r="L37" s="1017"/>
      <c r="M37" s="1006"/>
    </row>
    <row r="38" spans="1:13" ht="18" customHeight="1">
      <c r="A38" s="1012">
        <v>3422</v>
      </c>
      <c r="B38" s="1013" t="s">
        <v>148</v>
      </c>
      <c r="C38" s="1105">
        <f>SUM('3c.m.'!G685)</f>
        <v>79752</v>
      </c>
      <c r="D38" s="1003">
        <f t="shared" si="0"/>
        <v>79752</v>
      </c>
      <c r="E38" s="1003"/>
      <c r="F38" s="1016">
        <v>70000</v>
      </c>
      <c r="G38" s="1017"/>
      <c r="H38" s="1017"/>
      <c r="I38" s="1017"/>
      <c r="J38" s="1017"/>
      <c r="K38" s="1017">
        <v>9752</v>
      </c>
      <c r="L38" s="1017"/>
      <c r="M38" s="1006"/>
    </row>
    <row r="39" spans="1:13" ht="18" customHeight="1">
      <c r="A39" s="1012">
        <v>3423</v>
      </c>
      <c r="B39" s="1013" t="s">
        <v>147</v>
      </c>
      <c r="C39" s="1105">
        <f>SUM('3c.m.'!G693)</f>
        <v>14110</v>
      </c>
      <c r="D39" s="1003">
        <f t="shared" si="0"/>
        <v>14110</v>
      </c>
      <c r="E39" s="1003"/>
      <c r="F39" s="1016">
        <v>12000</v>
      </c>
      <c r="G39" s="1017">
        <v>1700</v>
      </c>
      <c r="H39" s="1017"/>
      <c r="I39" s="1017"/>
      <c r="J39" s="1017"/>
      <c r="K39" s="1017">
        <v>410</v>
      </c>
      <c r="L39" s="1017"/>
      <c r="M39" s="1006"/>
    </row>
    <row r="40" spans="1:13" ht="18" customHeight="1">
      <c r="A40" s="1012">
        <v>3424</v>
      </c>
      <c r="B40" s="1019" t="s">
        <v>312</v>
      </c>
      <c r="C40" s="1105">
        <f>SUM('3c.m.'!G701)</f>
        <v>28318</v>
      </c>
      <c r="D40" s="1003">
        <f t="shared" si="0"/>
        <v>28318</v>
      </c>
      <c r="E40" s="1003"/>
      <c r="F40" s="1016">
        <v>11000</v>
      </c>
      <c r="G40" s="1017"/>
      <c r="H40" s="1017"/>
      <c r="I40" s="1017"/>
      <c r="J40" s="1017"/>
      <c r="K40" s="1017">
        <v>17318</v>
      </c>
      <c r="L40" s="1017"/>
      <c r="M40" s="1006"/>
    </row>
    <row r="41" spans="1:13" ht="18" customHeight="1">
      <c r="A41" s="1012">
        <v>3425</v>
      </c>
      <c r="B41" s="1019" t="s">
        <v>44</v>
      </c>
      <c r="C41" s="1105">
        <f>SUM('3c.m.'!G709)</f>
        <v>9814</v>
      </c>
      <c r="D41" s="1003">
        <f t="shared" si="0"/>
        <v>9814</v>
      </c>
      <c r="E41" s="1003"/>
      <c r="F41" s="1005">
        <v>6250</v>
      </c>
      <c r="G41" s="1004"/>
      <c r="H41" s="1004"/>
      <c r="I41" s="1004"/>
      <c r="J41" s="1004"/>
      <c r="K41" s="1004">
        <v>3564</v>
      </c>
      <c r="L41" s="1004"/>
      <c r="M41" s="1006"/>
    </row>
    <row r="42" spans="1:13" ht="18" customHeight="1">
      <c r="A42" s="1012">
        <v>3426</v>
      </c>
      <c r="B42" s="1013" t="s">
        <v>379</v>
      </c>
      <c r="C42" s="1105">
        <f>SUM('3c.m.'!G717)</f>
        <v>73363</v>
      </c>
      <c r="D42" s="1003">
        <f t="shared" si="0"/>
        <v>73363</v>
      </c>
      <c r="E42" s="1003"/>
      <c r="F42" s="1005">
        <v>61922</v>
      </c>
      <c r="G42" s="1004"/>
      <c r="H42" s="1004"/>
      <c r="I42" s="1004"/>
      <c r="J42" s="1004"/>
      <c r="K42" s="1004">
        <v>11441</v>
      </c>
      <c r="L42" s="1004"/>
      <c r="M42" s="1006"/>
    </row>
    <row r="43" spans="1:13" ht="18" customHeight="1">
      <c r="A43" s="1012">
        <v>3427</v>
      </c>
      <c r="B43" s="1013" t="s">
        <v>45</v>
      </c>
      <c r="C43" s="1105">
        <f>SUM('3c.m.'!G725)</f>
        <v>24533</v>
      </c>
      <c r="D43" s="1003">
        <f t="shared" si="0"/>
        <v>24533</v>
      </c>
      <c r="E43" s="1003"/>
      <c r="F43" s="1005">
        <v>23000</v>
      </c>
      <c r="G43" s="1004"/>
      <c r="H43" s="1004"/>
      <c r="I43" s="1004"/>
      <c r="J43" s="1004"/>
      <c r="K43" s="1004">
        <v>1533</v>
      </c>
      <c r="L43" s="1004"/>
      <c r="M43" s="1006"/>
    </row>
    <row r="44" spans="1:13" ht="18" customHeight="1">
      <c r="A44" s="1012">
        <v>3921</v>
      </c>
      <c r="B44" s="1019" t="s">
        <v>520</v>
      </c>
      <c r="C44" s="1105">
        <f>SUM('3d.m.'!G12)</f>
        <v>6000</v>
      </c>
      <c r="D44" s="1003">
        <f t="shared" si="0"/>
        <v>6000</v>
      </c>
      <c r="E44" s="1003"/>
      <c r="F44" s="1005">
        <v>6000</v>
      </c>
      <c r="G44" s="1004"/>
      <c r="H44" s="1004"/>
      <c r="I44" s="1004"/>
      <c r="J44" s="1004"/>
      <c r="K44" s="1004"/>
      <c r="L44" s="1004"/>
      <c r="M44" s="1006"/>
    </row>
    <row r="45" spans="1:13" ht="18" customHeight="1">
      <c r="A45" s="1012">
        <v>3922</v>
      </c>
      <c r="B45" s="1019" t="s">
        <v>519</v>
      </c>
      <c r="C45" s="1105">
        <f>SUM('3d.m.'!G13)</f>
        <v>5000</v>
      </c>
      <c r="D45" s="1003">
        <f t="shared" si="0"/>
        <v>5000</v>
      </c>
      <c r="E45" s="1003"/>
      <c r="F45" s="1005">
        <v>5000</v>
      </c>
      <c r="G45" s="1004"/>
      <c r="H45" s="1004"/>
      <c r="I45" s="1004"/>
      <c r="J45" s="1004"/>
      <c r="K45" s="1004"/>
      <c r="L45" s="1004"/>
      <c r="M45" s="1006"/>
    </row>
    <row r="46" spans="1:13" ht="18" customHeight="1">
      <c r="A46" s="1012">
        <v>3924</v>
      </c>
      <c r="B46" s="1121" t="s">
        <v>444</v>
      </c>
      <c r="C46" s="1105">
        <f>SUM('3d.m.'!G14)</f>
        <v>9000</v>
      </c>
      <c r="D46" s="1003">
        <f t="shared" si="0"/>
        <v>9000</v>
      </c>
      <c r="E46" s="1003"/>
      <c r="F46" s="1005">
        <v>6000</v>
      </c>
      <c r="G46" s="1004"/>
      <c r="H46" s="1004"/>
      <c r="I46" s="1004"/>
      <c r="J46" s="1004"/>
      <c r="K46" s="1004">
        <v>3000</v>
      </c>
      <c r="L46" s="1004"/>
      <c r="M46" s="1006"/>
    </row>
    <row r="47" spans="1:13" ht="18" customHeight="1">
      <c r="A47" s="1001">
        <v>3928</v>
      </c>
      <c r="B47" s="1004" t="s">
        <v>160</v>
      </c>
      <c r="C47" s="1105">
        <f>SUM('3d.m.'!G17)</f>
        <v>396950</v>
      </c>
      <c r="D47" s="1003">
        <f t="shared" si="0"/>
        <v>396950</v>
      </c>
      <c r="E47" s="1003"/>
      <c r="F47" s="1005">
        <v>196000</v>
      </c>
      <c r="G47" s="1004"/>
      <c r="H47" s="1004"/>
      <c r="I47" s="1004"/>
      <c r="J47" s="1004"/>
      <c r="K47" s="1004">
        <v>200950</v>
      </c>
      <c r="L47" s="1004"/>
      <c r="M47" s="1006"/>
    </row>
    <row r="48" spans="1:13" ht="18" customHeight="1">
      <c r="A48" s="1001">
        <v>3929</v>
      </c>
      <c r="B48" s="1004" t="s">
        <v>302</v>
      </c>
      <c r="C48" s="1105">
        <f>SUM('3d.m.'!G23)</f>
        <v>20000</v>
      </c>
      <c r="D48" s="1003">
        <f t="shared" si="0"/>
        <v>20000</v>
      </c>
      <c r="E48" s="1003"/>
      <c r="F48" s="1005">
        <v>10000</v>
      </c>
      <c r="G48" s="1004"/>
      <c r="H48" s="1004"/>
      <c r="I48" s="1004"/>
      <c r="J48" s="1004"/>
      <c r="K48" s="1004">
        <v>10000</v>
      </c>
      <c r="L48" s="1004"/>
      <c r="M48" s="1006"/>
    </row>
    <row r="49" spans="1:13" ht="18" customHeight="1">
      <c r="A49" s="1012">
        <v>3932</v>
      </c>
      <c r="B49" s="1019" t="s">
        <v>197</v>
      </c>
      <c r="C49" s="1105">
        <f>SUM('3d.m.'!G27)</f>
        <v>12500</v>
      </c>
      <c r="D49" s="1003">
        <f t="shared" si="0"/>
        <v>12500</v>
      </c>
      <c r="E49" s="1003"/>
      <c r="F49" s="1005">
        <v>12500</v>
      </c>
      <c r="G49" s="1004"/>
      <c r="H49" s="1004"/>
      <c r="I49" s="1004"/>
      <c r="J49" s="1004"/>
      <c r="K49" s="1004"/>
      <c r="L49" s="1004"/>
      <c r="M49" s="1006"/>
    </row>
    <row r="50" spans="1:13" ht="18" customHeight="1">
      <c r="A50" s="1012">
        <v>3934</v>
      </c>
      <c r="B50" s="1019" t="s">
        <v>448</v>
      </c>
      <c r="C50" s="1105">
        <f>SUM('3d.m.'!G28)</f>
        <v>5000</v>
      </c>
      <c r="D50" s="1003">
        <f t="shared" si="0"/>
        <v>5000</v>
      </c>
      <c r="E50" s="1003"/>
      <c r="F50" s="1005">
        <v>5000</v>
      </c>
      <c r="G50" s="1004"/>
      <c r="H50" s="1004"/>
      <c r="I50" s="1004"/>
      <c r="J50" s="1004"/>
      <c r="K50" s="1004"/>
      <c r="L50" s="1004"/>
      <c r="M50" s="1006"/>
    </row>
    <row r="51" spans="1:13" ht="24" customHeight="1">
      <c r="A51" s="1012">
        <v>3941</v>
      </c>
      <c r="B51" s="1024" t="s">
        <v>822</v>
      </c>
      <c r="C51" s="1105">
        <f>SUM('3d.m.'!G31)</f>
        <v>305160</v>
      </c>
      <c r="D51" s="1003">
        <f t="shared" si="0"/>
        <v>305160</v>
      </c>
      <c r="E51" s="1003"/>
      <c r="F51" s="1005">
        <v>305160</v>
      </c>
      <c r="G51" s="1004"/>
      <c r="H51" s="1004"/>
      <c r="I51" s="1004"/>
      <c r="J51" s="1004"/>
      <c r="K51" s="1004"/>
      <c r="L51" s="1004"/>
      <c r="M51" s="1006"/>
    </row>
    <row r="52" spans="1:13" ht="18" customHeight="1">
      <c r="A52" s="1001">
        <v>3942</v>
      </c>
      <c r="B52" s="1023" t="s">
        <v>453</v>
      </c>
      <c r="C52" s="1105">
        <f>SUM('3d.m.'!G32)</f>
        <v>9000</v>
      </c>
      <c r="D52" s="1003">
        <f t="shared" si="0"/>
        <v>9000</v>
      </c>
      <c r="E52" s="1003"/>
      <c r="F52" s="1005">
        <v>8000</v>
      </c>
      <c r="G52" s="1004"/>
      <c r="H52" s="1004"/>
      <c r="I52" s="1004"/>
      <c r="J52" s="1004"/>
      <c r="K52" s="1004">
        <v>1000</v>
      </c>
      <c r="L52" s="1004"/>
      <c r="M52" s="1006"/>
    </row>
    <row r="53" spans="1:13" ht="18" customHeight="1">
      <c r="A53" s="1001">
        <v>3943</v>
      </c>
      <c r="B53" s="1004" t="s">
        <v>6</v>
      </c>
      <c r="C53" s="1105">
        <f>SUM('3d.m.'!G33)</f>
        <v>2000</v>
      </c>
      <c r="D53" s="1003">
        <f t="shared" si="0"/>
        <v>2000</v>
      </c>
      <c r="E53" s="1003"/>
      <c r="F53" s="1005">
        <v>2000</v>
      </c>
      <c r="G53" s="1004"/>
      <c r="H53" s="1004"/>
      <c r="I53" s="1004"/>
      <c r="J53" s="1004"/>
      <c r="K53" s="1004"/>
      <c r="L53" s="1004"/>
      <c r="M53" s="1006"/>
    </row>
    <row r="54" spans="1:13" ht="18" customHeight="1">
      <c r="A54" s="1001">
        <v>3944</v>
      </c>
      <c r="B54" s="1004" t="s">
        <v>450</v>
      </c>
      <c r="C54" s="1105">
        <f>SUM('3d.m.'!G37)</f>
        <v>57365</v>
      </c>
      <c r="D54" s="1003">
        <f t="shared" si="0"/>
        <v>57365</v>
      </c>
      <c r="E54" s="1003"/>
      <c r="F54" s="1005">
        <v>57365</v>
      </c>
      <c r="G54" s="1004"/>
      <c r="H54" s="1004"/>
      <c r="I54" s="1004"/>
      <c r="J54" s="1004"/>
      <c r="K54" s="1004"/>
      <c r="L54" s="1004"/>
      <c r="M54" s="1006"/>
    </row>
    <row r="55" spans="1:13" ht="18" customHeight="1">
      <c r="A55" s="1001">
        <v>3962</v>
      </c>
      <c r="B55" s="1004" t="s">
        <v>375</v>
      </c>
      <c r="C55" s="1105">
        <f>SUM('3d.m.'!G41)</f>
        <v>50000</v>
      </c>
      <c r="D55" s="1003">
        <f t="shared" si="0"/>
        <v>50000</v>
      </c>
      <c r="E55" s="1003"/>
      <c r="F55" s="1005"/>
      <c r="G55" s="1004"/>
      <c r="H55" s="1004"/>
      <c r="I55" s="1004"/>
      <c r="J55" s="1004"/>
      <c r="K55" s="1004">
        <v>50000</v>
      </c>
      <c r="L55" s="1004"/>
      <c r="M55" s="1006"/>
    </row>
    <row r="56" spans="1:13" ht="18" customHeight="1">
      <c r="A56" s="1001">
        <v>3972</v>
      </c>
      <c r="B56" s="1004" t="s">
        <v>454</v>
      </c>
      <c r="C56" s="1105">
        <f>SUM('3d.m.'!G43)</f>
        <v>16750</v>
      </c>
      <c r="D56" s="1003">
        <f t="shared" si="0"/>
        <v>16750</v>
      </c>
      <c r="E56" s="1003"/>
      <c r="F56" s="1005">
        <v>16750</v>
      </c>
      <c r="G56" s="1004"/>
      <c r="H56" s="1004"/>
      <c r="I56" s="1004"/>
      <c r="J56" s="1004"/>
      <c r="K56" s="1004"/>
      <c r="L56" s="1004"/>
      <c r="M56" s="1025"/>
    </row>
    <row r="57" spans="1:13" ht="18" customHeight="1">
      <c r="A57" s="1001">
        <v>3988</v>
      </c>
      <c r="B57" s="1026" t="s">
        <v>823</v>
      </c>
      <c r="C57" s="1105">
        <f>SUM('3d.m.'!G46)</f>
        <v>800</v>
      </c>
      <c r="D57" s="1003">
        <f t="shared" si="0"/>
        <v>800</v>
      </c>
      <c r="E57" s="1003"/>
      <c r="F57" s="1005">
        <v>800</v>
      </c>
      <c r="G57" s="1004"/>
      <c r="H57" s="1004"/>
      <c r="I57" s="1004"/>
      <c r="J57" s="1004"/>
      <c r="K57" s="1004"/>
      <c r="L57" s="1004"/>
      <c r="M57" s="1025"/>
    </row>
    <row r="58" spans="1:13" ht="18" customHeight="1">
      <c r="A58" s="1001">
        <v>3989</v>
      </c>
      <c r="B58" s="1026" t="s">
        <v>377</v>
      </c>
      <c r="C58" s="1105">
        <f>SUM('3d.m.'!G47)</f>
        <v>6000</v>
      </c>
      <c r="D58" s="1003">
        <f t="shared" si="0"/>
        <v>6000</v>
      </c>
      <c r="E58" s="1003"/>
      <c r="F58" s="1005">
        <v>6000</v>
      </c>
      <c r="G58" s="1004"/>
      <c r="H58" s="1004"/>
      <c r="I58" s="1004"/>
      <c r="J58" s="1004"/>
      <c r="K58" s="1004"/>
      <c r="L58" s="1004"/>
      <c r="M58" s="1025"/>
    </row>
    <row r="59" spans="1:13" ht="18" customHeight="1">
      <c r="A59" s="1001">
        <v>3990</v>
      </c>
      <c r="B59" s="1027" t="s">
        <v>325</v>
      </c>
      <c r="C59" s="1105">
        <f>SUM('3d.m.'!G48)</f>
        <v>1000</v>
      </c>
      <c r="D59" s="1003">
        <f t="shared" si="0"/>
        <v>1000</v>
      </c>
      <c r="E59" s="1003"/>
      <c r="F59" s="1005">
        <v>1000</v>
      </c>
      <c r="G59" s="1004"/>
      <c r="H59" s="1004"/>
      <c r="I59" s="1004"/>
      <c r="J59" s="1004"/>
      <c r="K59" s="1004"/>
      <c r="L59" s="1004"/>
      <c r="M59" s="1025"/>
    </row>
    <row r="60" spans="1:13" ht="18" customHeight="1">
      <c r="A60" s="1001">
        <v>3991</v>
      </c>
      <c r="B60" s="1027" t="s">
        <v>371</v>
      </c>
      <c r="C60" s="1105">
        <f>SUM('3d.m.'!G49)</f>
        <v>4820</v>
      </c>
      <c r="D60" s="1003">
        <f t="shared" si="0"/>
        <v>4820</v>
      </c>
      <c r="E60" s="1003"/>
      <c r="F60" s="1005">
        <v>4820</v>
      </c>
      <c r="G60" s="1004"/>
      <c r="H60" s="1004"/>
      <c r="I60" s="1004"/>
      <c r="J60" s="1004"/>
      <c r="K60" s="1004"/>
      <c r="L60" s="1004"/>
      <c r="M60" s="1025"/>
    </row>
    <row r="61" spans="1:13" ht="18" customHeight="1">
      <c r="A61" s="1028">
        <v>3992</v>
      </c>
      <c r="B61" s="1027" t="s">
        <v>326</v>
      </c>
      <c r="C61" s="1105">
        <f>SUM('3d.m.'!G50)</f>
        <v>1400</v>
      </c>
      <c r="D61" s="1003">
        <f t="shared" si="0"/>
        <v>1400</v>
      </c>
      <c r="E61" s="1003"/>
      <c r="F61" s="1005">
        <v>1400</v>
      </c>
      <c r="G61" s="1004"/>
      <c r="H61" s="1004"/>
      <c r="I61" s="1004"/>
      <c r="J61" s="1004"/>
      <c r="K61" s="1004"/>
      <c r="L61" s="1004"/>
      <c r="M61" s="1025"/>
    </row>
    <row r="62" spans="1:13" ht="18" customHeight="1">
      <c r="A62" s="1001">
        <v>3993</v>
      </c>
      <c r="B62" s="1027" t="s">
        <v>327</v>
      </c>
      <c r="C62" s="1105">
        <f>SUM('3d.m.'!G51)</f>
        <v>900</v>
      </c>
      <c r="D62" s="1003">
        <f t="shared" si="0"/>
        <v>900</v>
      </c>
      <c r="E62" s="1003"/>
      <c r="F62" s="1005">
        <v>900</v>
      </c>
      <c r="G62" s="1004"/>
      <c r="H62" s="1004"/>
      <c r="I62" s="1004"/>
      <c r="J62" s="1004"/>
      <c r="K62" s="1004"/>
      <c r="L62" s="1004"/>
      <c r="M62" s="1025"/>
    </row>
    <row r="63" spans="1:13" ht="18" customHeight="1">
      <c r="A63" s="1001">
        <v>3994</v>
      </c>
      <c r="B63" s="1027" t="s">
        <v>108</v>
      </c>
      <c r="C63" s="1105">
        <f>SUM('3d.m.'!G52)</f>
        <v>900</v>
      </c>
      <c r="D63" s="1003">
        <f t="shared" si="0"/>
        <v>900</v>
      </c>
      <c r="E63" s="1003"/>
      <c r="F63" s="1005">
        <v>900</v>
      </c>
      <c r="G63" s="1004"/>
      <c r="H63" s="1004"/>
      <c r="I63" s="1004"/>
      <c r="J63" s="1004"/>
      <c r="K63" s="1004"/>
      <c r="L63" s="1004"/>
      <c r="M63" s="1025"/>
    </row>
    <row r="64" spans="1:13" ht="18" customHeight="1">
      <c r="A64" s="1001">
        <v>3995</v>
      </c>
      <c r="B64" s="1027" t="s">
        <v>109</v>
      </c>
      <c r="C64" s="1105">
        <f>SUM('3d.m.'!G53)</f>
        <v>900</v>
      </c>
      <c r="D64" s="1003">
        <f t="shared" si="0"/>
        <v>900</v>
      </c>
      <c r="E64" s="1003"/>
      <c r="F64" s="1005">
        <v>900</v>
      </c>
      <c r="G64" s="1004"/>
      <c r="H64" s="1004"/>
      <c r="I64" s="1004"/>
      <c r="J64" s="1004"/>
      <c r="K64" s="1004"/>
      <c r="L64" s="1004"/>
      <c r="M64" s="1025"/>
    </row>
    <row r="65" spans="1:13" ht="18" customHeight="1">
      <c r="A65" s="1001">
        <v>3997</v>
      </c>
      <c r="B65" s="1027" t="s">
        <v>110</v>
      </c>
      <c r="C65" s="1105">
        <f>SUM('3d.m.'!G54)</f>
        <v>900</v>
      </c>
      <c r="D65" s="1003">
        <f t="shared" si="0"/>
        <v>900</v>
      </c>
      <c r="E65" s="1003"/>
      <c r="F65" s="1005">
        <v>900</v>
      </c>
      <c r="G65" s="1004"/>
      <c r="H65" s="1004"/>
      <c r="I65" s="1004"/>
      <c r="J65" s="1004"/>
      <c r="K65" s="1004"/>
      <c r="L65" s="1004"/>
      <c r="M65" s="1025"/>
    </row>
    <row r="66" spans="1:13" ht="18" customHeight="1">
      <c r="A66" s="1001">
        <v>3998</v>
      </c>
      <c r="B66" s="1027" t="s">
        <v>111</v>
      </c>
      <c r="C66" s="1105">
        <f>SUM('3d.m.'!G55)</f>
        <v>900</v>
      </c>
      <c r="D66" s="1003">
        <f t="shared" si="0"/>
        <v>900</v>
      </c>
      <c r="E66" s="1003"/>
      <c r="F66" s="1005">
        <v>900</v>
      </c>
      <c r="G66" s="1004"/>
      <c r="H66" s="1004"/>
      <c r="I66" s="1004"/>
      <c r="J66" s="1004"/>
      <c r="K66" s="1004"/>
      <c r="L66" s="1004"/>
      <c r="M66" s="1025"/>
    </row>
    <row r="67" spans="1:13" ht="18" customHeight="1">
      <c r="A67" s="1001">
        <v>3999</v>
      </c>
      <c r="B67" s="1027" t="s">
        <v>112</v>
      </c>
      <c r="C67" s="1105">
        <f>SUM('3d.m.'!G56)</f>
        <v>1000</v>
      </c>
      <c r="D67" s="1003">
        <f t="shared" si="0"/>
        <v>1000</v>
      </c>
      <c r="E67" s="1003"/>
      <c r="F67" s="1005">
        <v>1000</v>
      </c>
      <c r="G67" s="1004"/>
      <c r="H67" s="1004"/>
      <c r="I67" s="1004"/>
      <c r="J67" s="1004"/>
      <c r="K67" s="1004"/>
      <c r="L67" s="1004"/>
      <c r="M67" s="1025"/>
    </row>
    <row r="68" spans="1:13" ht="18" customHeight="1">
      <c r="A68" s="1001">
        <v>4011</v>
      </c>
      <c r="B68" s="1027" t="s">
        <v>1163</v>
      </c>
      <c r="C68" s="1105">
        <f>SUM('4.mell.'!G11)</f>
        <v>100000</v>
      </c>
      <c r="D68" s="1003">
        <f t="shared" si="0"/>
        <v>100000</v>
      </c>
      <c r="E68" s="1003"/>
      <c r="F68" s="1005"/>
      <c r="G68" s="1004"/>
      <c r="H68" s="1004"/>
      <c r="I68" s="1004"/>
      <c r="J68" s="1004"/>
      <c r="K68" s="1004">
        <v>100000</v>
      </c>
      <c r="L68" s="1004"/>
      <c r="M68" s="1025"/>
    </row>
    <row r="69" spans="1:13" ht="18" customHeight="1">
      <c r="A69" s="1001">
        <v>4120</v>
      </c>
      <c r="B69" s="1084" t="s">
        <v>252</v>
      </c>
      <c r="C69" s="1105">
        <f>SUM('4.mell.'!G29)</f>
        <v>609025</v>
      </c>
      <c r="D69" s="1003">
        <f t="shared" si="0"/>
        <v>609025</v>
      </c>
      <c r="E69" s="1003"/>
      <c r="F69" s="1005"/>
      <c r="G69" s="1004"/>
      <c r="H69" s="1004"/>
      <c r="I69" s="1004"/>
      <c r="J69" s="1004"/>
      <c r="K69" s="1004">
        <v>609025</v>
      </c>
      <c r="L69" s="1004"/>
      <c r="M69" s="1025"/>
    </row>
    <row r="70" spans="1:13" ht="18" customHeight="1">
      <c r="A70" s="1001">
        <v>4132</v>
      </c>
      <c r="B70" s="1004" t="s">
        <v>129</v>
      </c>
      <c r="C70" s="1105">
        <f>SUM('4.mell.'!G46)</f>
        <v>50874</v>
      </c>
      <c r="D70" s="1003">
        <f t="shared" si="0"/>
        <v>50874</v>
      </c>
      <c r="E70" s="1003"/>
      <c r="F70" s="1005">
        <v>25000</v>
      </c>
      <c r="G70" s="1004"/>
      <c r="H70" s="1004"/>
      <c r="I70" s="1004"/>
      <c r="J70" s="1004"/>
      <c r="K70" s="1004">
        <v>10874</v>
      </c>
      <c r="L70" s="1004"/>
      <c r="M70" s="1108">
        <v>15000</v>
      </c>
    </row>
    <row r="71" spans="1:13" ht="18" customHeight="1">
      <c r="A71" s="1001">
        <v>5023</v>
      </c>
      <c r="B71" s="1029" t="s">
        <v>824</v>
      </c>
      <c r="C71" s="1105">
        <f>SUM('5.mell. '!G14)</f>
        <v>264784</v>
      </c>
      <c r="D71" s="1003">
        <f t="shared" si="0"/>
        <v>264784</v>
      </c>
      <c r="E71" s="1003"/>
      <c r="F71" s="1005"/>
      <c r="G71" s="1004"/>
      <c r="H71" s="1004">
        <v>209034</v>
      </c>
      <c r="I71" s="1004"/>
      <c r="J71" s="1004"/>
      <c r="K71" s="1004">
        <v>55750</v>
      </c>
      <c r="L71" s="1004"/>
      <c r="M71" s="1025"/>
    </row>
    <row r="72" spans="1:13" ht="18" customHeight="1">
      <c r="A72" s="1001">
        <v>5024</v>
      </c>
      <c r="B72" s="1029" t="s">
        <v>440</v>
      </c>
      <c r="C72" s="1105">
        <f>SUM('5.mell. '!G19)</f>
        <v>734588</v>
      </c>
      <c r="D72" s="1003">
        <f aca="true" t="shared" si="1" ref="D72:D80">SUM(E72:M72)</f>
        <v>734588</v>
      </c>
      <c r="E72" s="1003"/>
      <c r="F72" s="1005"/>
      <c r="G72" s="1004"/>
      <c r="H72" s="1004">
        <v>280000</v>
      </c>
      <c r="I72" s="1004"/>
      <c r="J72" s="1004"/>
      <c r="K72" s="1004">
        <v>454588</v>
      </c>
      <c r="L72" s="1004"/>
      <c r="M72" s="1025"/>
    </row>
    <row r="73" spans="1:13" ht="18" customHeight="1">
      <c r="A73" s="1001">
        <v>5032</v>
      </c>
      <c r="B73" s="1020" t="s">
        <v>1108</v>
      </c>
      <c r="C73" s="1105">
        <f>SUM('5.mell. '!G27)</f>
        <v>28500</v>
      </c>
      <c r="D73" s="1003">
        <f t="shared" si="1"/>
        <v>28500</v>
      </c>
      <c r="E73" s="1003"/>
      <c r="F73" s="1005"/>
      <c r="G73" s="1004"/>
      <c r="H73" s="1004"/>
      <c r="I73" s="1004"/>
      <c r="J73" s="1004"/>
      <c r="K73" s="1004">
        <v>28500</v>
      </c>
      <c r="L73" s="1004"/>
      <c r="M73" s="1025"/>
    </row>
    <row r="74" spans="1:13" ht="18" customHeight="1">
      <c r="A74" s="1001">
        <v>5036</v>
      </c>
      <c r="B74" s="1002" t="s">
        <v>1096</v>
      </c>
      <c r="C74" s="1105">
        <f>SUM('5.mell. '!G33)</f>
        <v>15200</v>
      </c>
      <c r="D74" s="1003">
        <f t="shared" si="1"/>
        <v>15200</v>
      </c>
      <c r="E74" s="1003"/>
      <c r="F74" s="1005">
        <v>15200</v>
      </c>
      <c r="G74" s="1004"/>
      <c r="H74" s="1004"/>
      <c r="I74" s="1004"/>
      <c r="J74" s="1004"/>
      <c r="K74" s="1004"/>
      <c r="L74" s="1004"/>
      <c r="M74" s="1025"/>
    </row>
    <row r="75" spans="1:13" ht="18" customHeight="1">
      <c r="A75" s="1001">
        <v>5037</v>
      </c>
      <c r="B75" s="1135" t="s">
        <v>1097</v>
      </c>
      <c r="C75" s="1105">
        <f>SUM('5.mell. '!G34)</f>
        <v>133529</v>
      </c>
      <c r="D75" s="1003">
        <f t="shared" si="1"/>
        <v>133529</v>
      </c>
      <c r="E75" s="1003"/>
      <c r="F75" s="1005">
        <v>12300</v>
      </c>
      <c r="G75" s="1004"/>
      <c r="H75" s="1004"/>
      <c r="I75" s="1004"/>
      <c r="J75" s="1004"/>
      <c r="K75" s="1004">
        <v>21500</v>
      </c>
      <c r="L75" s="1004">
        <v>99729</v>
      </c>
      <c r="M75" s="1025"/>
    </row>
    <row r="76" spans="1:13" ht="18" customHeight="1">
      <c r="A76" s="1001">
        <v>5062</v>
      </c>
      <c r="B76" s="1002" t="s">
        <v>825</v>
      </c>
      <c r="C76" s="1105">
        <f>SUM('5.mell. '!G47)</f>
        <v>14617</v>
      </c>
      <c r="D76" s="1003">
        <f t="shared" si="1"/>
        <v>14617</v>
      </c>
      <c r="E76" s="1003"/>
      <c r="F76" s="1005">
        <v>7680</v>
      </c>
      <c r="G76" s="1004"/>
      <c r="H76" s="1004"/>
      <c r="I76" s="1004"/>
      <c r="J76" s="1004"/>
      <c r="K76" s="1004">
        <v>6937</v>
      </c>
      <c r="L76" s="1004"/>
      <c r="M76" s="1025"/>
    </row>
    <row r="77" spans="1:13" ht="18" customHeight="1">
      <c r="A77" s="1001">
        <v>5044</v>
      </c>
      <c r="B77" s="1002" t="s">
        <v>451</v>
      </c>
      <c r="C77" s="1105">
        <f>SUM('5.mell. '!G36)</f>
        <v>594</v>
      </c>
      <c r="D77" s="1003">
        <f t="shared" si="1"/>
        <v>594</v>
      </c>
      <c r="E77" s="1003"/>
      <c r="F77" s="1005"/>
      <c r="G77" s="1004"/>
      <c r="H77" s="1004"/>
      <c r="I77" s="1004"/>
      <c r="J77" s="1004"/>
      <c r="K77" s="1004">
        <v>594</v>
      </c>
      <c r="L77" s="1004"/>
      <c r="M77" s="1025"/>
    </row>
    <row r="78" spans="1:13" ht="18" customHeight="1">
      <c r="A78" s="1001">
        <v>5045</v>
      </c>
      <c r="B78" s="1002" t="s">
        <v>1137</v>
      </c>
      <c r="C78" s="1105">
        <f>SUM('5.mell. '!G37)</f>
        <v>6105</v>
      </c>
      <c r="D78" s="1003">
        <f t="shared" si="1"/>
        <v>6105</v>
      </c>
      <c r="E78" s="1003"/>
      <c r="F78" s="1005"/>
      <c r="G78" s="1004"/>
      <c r="H78" s="1004"/>
      <c r="I78" s="1004"/>
      <c r="J78" s="1004"/>
      <c r="K78" s="1004">
        <v>6105</v>
      </c>
      <c r="L78" s="1004"/>
      <c r="M78" s="1025"/>
    </row>
    <row r="79" spans="1:13" ht="18" customHeight="1">
      <c r="A79" s="1001">
        <v>5046</v>
      </c>
      <c r="B79" s="1134" t="s">
        <v>1140</v>
      </c>
      <c r="C79" s="1105">
        <f>SUM('5.mell. '!G41)</f>
        <v>4277</v>
      </c>
      <c r="D79" s="1003">
        <f t="shared" si="1"/>
        <v>4277</v>
      </c>
      <c r="E79" s="1003"/>
      <c r="F79" s="1005"/>
      <c r="G79" s="1004"/>
      <c r="H79" s="1004"/>
      <c r="I79" s="1004"/>
      <c r="J79" s="1004"/>
      <c r="K79" s="1004">
        <v>4277</v>
      </c>
      <c r="L79" s="1004"/>
      <c r="M79" s="1025"/>
    </row>
    <row r="80" spans="1:13" ht="18" customHeight="1">
      <c r="A80" s="1001">
        <v>6127</v>
      </c>
      <c r="B80" s="1030" t="s">
        <v>1155</v>
      </c>
      <c r="C80" s="1105">
        <f>SUM('6.mell. '!G16)</f>
        <v>453762</v>
      </c>
      <c r="D80" s="1003">
        <f t="shared" si="1"/>
        <v>453762</v>
      </c>
      <c r="E80" s="1003"/>
      <c r="F80" s="1005"/>
      <c r="G80" s="1004"/>
      <c r="H80" s="1004"/>
      <c r="I80" s="1004"/>
      <c r="J80" s="1004"/>
      <c r="K80" s="1004">
        <v>453762</v>
      </c>
      <c r="L80" s="1004"/>
      <c r="M80" s="1025"/>
    </row>
    <row r="81" spans="1:14" ht="21" customHeight="1">
      <c r="A81" s="970"/>
      <c r="B81" s="1031" t="s">
        <v>158</v>
      </c>
      <c r="C81" s="988">
        <f aca="true" t="shared" si="2" ref="C81:M81">SUM(C7:C80)</f>
        <v>6256028</v>
      </c>
      <c r="D81" s="988">
        <f t="shared" si="2"/>
        <v>6256028</v>
      </c>
      <c r="E81" s="1163">
        <f t="shared" si="2"/>
        <v>407833</v>
      </c>
      <c r="F81" s="1163">
        <f t="shared" si="2"/>
        <v>1143981</v>
      </c>
      <c r="G81" s="1163">
        <f t="shared" si="2"/>
        <v>14242</v>
      </c>
      <c r="H81" s="1163">
        <f t="shared" si="2"/>
        <v>489034</v>
      </c>
      <c r="I81" s="1163">
        <f t="shared" si="2"/>
        <v>0</v>
      </c>
      <c r="J81" s="1163">
        <f t="shared" si="2"/>
        <v>0</v>
      </c>
      <c r="K81" s="1163">
        <f t="shared" si="2"/>
        <v>2086209</v>
      </c>
      <c r="L81" s="1163">
        <f t="shared" si="2"/>
        <v>99729</v>
      </c>
      <c r="M81" s="1163">
        <f t="shared" si="2"/>
        <v>2015000</v>
      </c>
      <c r="N81" s="993"/>
    </row>
    <row r="83" spans="3:11" ht="12.75">
      <c r="C83" s="993"/>
      <c r="K83" s="993"/>
    </row>
  </sheetData>
  <sheetProtection/>
  <mergeCells count="13"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  <mergeCell ref="L5:L6"/>
    <mergeCell ref="M5:M6"/>
  </mergeCells>
  <printOptions/>
  <pageMargins left="1.1811023622047245" right="0.7874015748031497" top="0.3937007874015748" bottom="0.1968503937007874" header="0.31496062992125984" footer="0"/>
  <pageSetup firstPageNumber="59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4">
      <selection activeCell="C8" sqref="C8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474" t="s">
        <v>826</v>
      </c>
      <c r="C3" s="1474"/>
      <c r="D3" s="1474"/>
      <c r="E3" s="1474"/>
      <c r="F3" s="1474"/>
      <c r="G3" s="1474"/>
    </row>
    <row r="4" spans="2:7" ht="18.75" customHeight="1">
      <c r="B4" s="1476" t="s">
        <v>827</v>
      </c>
      <c r="C4" s="1476"/>
      <c r="D4" s="1476"/>
      <c r="E4" s="1476"/>
      <c r="F4" s="1476"/>
      <c r="G4" s="1476"/>
    </row>
    <row r="5" spans="2:6" ht="18.75">
      <c r="B5" s="1475" t="s">
        <v>1081</v>
      </c>
      <c r="C5" s="1475"/>
      <c r="D5" s="1475"/>
      <c r="E5" s="1475"/>
      <c r="F5" s="1475"/>
    </row>
    <row r="6" spans="2:6" ht="18.75">
      <c r="B6" s="1032"/>
      <c r="C6" s="1032"/>
      <c r="D6" s="1032"/>
      <c r="E6" s="1032"/>
      <c r="F6" s="1032"/>
    </row>
    <row r="7" ht="12.75">
      <c r="G7" s="1033" t="s">
        <v>385</v>
      </c>
    </row>
    <row r="8" spans="2:7" ht="132.75" customHeight="1">
      <c r="B8" s="1034" t="s">
        <v>828</v>
      </c>
      <c r="C8" s="997" t="s">
        <v>1229</v>
      </c>
      <c r="D8" s="1035" t="s">
        <v>810</v>
      </c>
      <c r="E8" s="1034" t="s">
        <v>829</v>
      </c>
      <c r="F8" s="1034" t="s">
        <v>830</v>
      </c>
      <c r="G8" s="997" t="s">
        <v>831</v>
      </c>
    </row>
    <row r="9" spans="2:7" ht="14.25">
      <c r="B9" s="1034" t="s">
        <v>294</v>
      </c>
      <c r="C9" s="999"/>
      <c r="D9" s="1036"/>
      <c r="E9" s="1034"/>
      <c r="F9" s="1034"/>
      <c r="G9" s="997"/>
    </row>
    <row r="10" spans="2:7" ht="23.25" customHeight="1">
      <c r="B10" s="1037" t="s">
        <v>1086</v>
      </c>
      <c r="C10" s="1038">
        <v>177834</v>
      </c>
      <c r="D10" s="1039">
        <f>SUM(E10:G10)</f>
        <v>177834</v>
      </c>
      <c r="E10" s="1040"/>
      <c r="F10" s="1040"/>
      <c r="G10" s="1009">
        <v>177834</v>
      </c>
    </row>
    <row r="11" spans="2:7" ht="18" customHeight="1">
      <c r="B11" s="1040"/>
      <c r="C11" s="1040"/>
      <c r="D11" s="1040"/>
      <c r="E11" s="1040"/>
      <c r="F11" s="1040"/>
      <c r="G11" s="1040"/>
    </row>
    <row r="12" spans="2:7" ht="23.25" customHeight="1">
      <c r="B12" s="1041" t="s">
        <v>158</v>
      </c>
      <c r="C12" s="1042">
        <f>SUM(C10:C11)</f>
        <v>177834</v>
      </c>
      <c r="D12" s="1042">
        <f>SUM(D10:D11)</f>
        <v>177834</v>
      </c>
      <c r="E12" s="1041"/>
      <c r="F12" s="1041"/>
      <c r="G12" s="1164">
        <f>SUM(G10:G11)</f>
        <v>177834</v>
      </c>
    </row>
    <row r="14" ht="12.75">
      <c r="D14" s="59"/>
    </row>
  </sheetData>
  <sheetProtection/>
  <mergeCells count="3">
    <mergeCell ref="B3:G3"/>
    <mergeCell ref="B5:F5"/>
    <mergeCell ref="B4:G4"/>
  </mergeCells>
  <printOptions/>
  <pageMargins left="0.3937007874015748" right="0.3937007874015748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N32" sqref="N32:N33"/>
    </sheetView>
  </sheetViews>
  <sheetFormatPr defaultColWidth="9.00390625" defaultRowHeight="12.75"/>
  <cols>
    <col min="1" max="1" width="9.125" style="1043" customWidth="1"/>
    <col min="2" max="2" width="22.125" style="1043" customWidth="1"/>
    <col min="3" max="3" width="9.875" style="1043" customWidth="1"/>
    <col min="4" max="4" width="10.00390625" style="1043" customWidth="1"/>
    <col min="5" max="5" width="9.25390625" style="1043" customWidth="1"/>
    <col min="6" max="8" width="8.875" style="1043" customWidth="1"/>
    <col min="9" max="9" width="9.875" style="1043" customWidth="1"/>
    <col min="10" max="11" width="10.00390625" style="1043" customWidth="1"/>
    <col min="12" max="12" width="10.125" style="1043" customWidth="1"/>
    <col min="13" max="13" width="10.875" style="1043" customWidth="1"/>
    <col min="14" max="14" width="9.875" style="1043" customWidth="1"/>
    <col min="15" max="15" width="10.125" style="1043" customWidth="1"/>
    <col min="16" max="16384" width="9.125" style="1043" customWidth="1"/>
  </cols>
  <sheetData>
    <row r="1" spans="1:15" ht="12.75">
      <c r="A1" s="1499" t="s">
        <v>832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500"/>
      <c r="N1" s="1500"/>
      <c r="O1" s="1500"/>
    </row>
    <row r="2" spans="1:15" ht="12.75">
      <c r="A2" s="1501" t="s">
        <v>1083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</row>
    <row r="3" spans="1:15" ht="13.5" thickBot="1">
      <c r="A3" s="1044"/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5" t="s">
        <v>191</v>
      </c>
    </row>
    <row r="4" spans="1:15" ht="15" customHeight="1" thickBot="1">
      <c r="A4" s="1502" t="s">
        <v>171</v>
      </c>
      <c r="B4" s="1503"/>
      <c r="C4" s="1046" t="s">
        <v>833</v>
      </c>
      <c r="D4" s="1046" t="s">
        <v>834</v>
      </c>
      <c r="E4" s="1046" t="s">
        <v>835</v>
      </c>
      <c r="F4" s="1046" t="s">
        <v>836</v>
      </c>
      <c r="G4" s="1046" t="s">
        <v>837</v>
      </c>
      <c r="H4" s="1046" t="s">
        <v>838</v>
      </c>
      <c r="I4" s="1046" t="s">
        <v>839</v>
      </c>
      <c r="J4" s="1046" t="s">
        <v>840</v>
      </c>
      <c r="K4" s="1046" t="s">
        <v>841</v>
      </c>
      <c r="L4" s="1046" t="s">
        <v>842</v>
      </c>
      <c r="M4" s="1046" t="s">
        <v>843</v>
      </c>
      <c r="N4" s="1046" t="s">
        <v>844</v>
      </c>
      <c r="O4" s="1046" t="s">
        <v>186</v>
      </c>
    </row>
    <row r="5" spans="1:15" ht="15" customHeight="1" thickBot="1">
      <c r="A5" s="1047" t="s">
        <v>185</v>
      </c>
      <c r="B5" s="1048"/>
      <c r="C5" s="1049"/>
      <c r="D5" s="1049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1"/>
    </row>
    <row r="6" spans="1:15" ht="15" customHeight="1">
      <c r="A6" s="1504" t="s">
        <v>845</v>
      </c>
      <c r="B6" s="1505"/>
      <c r="C6" s="1490">
        <v>174496</v>
      </c>
      <c r="D6" s="1490">
        <v>130209</v>
      </c>
      <c r="E6" s="1490">
        <v>147257</v>
      </c>
      <c r="F6" s="1490">
        <v>184230</v>
      </c>
      <c r="G6" s="1490">
        <v>158969</v>
      </c>
      <c r="H6" s="1490">
        <v>150988</v>
      </c>
      <c r="I6" s="1490">
        <v>152581</v>
      </c>
      <c r="J6" s="1490">
        <v>165000</v>
      </c>
      <c r="K6" s="1490">
        <v>190936</v>
      </c>
      <c r="L6" s="1490">
        <v>170000</v>
      </c>
      <c r="M6" s="1490">
        <v>170000</v>
      </c>
      <c r="N6" s="1490">
        <v>256755</v>
      </c>
      <c r="O6" s="1495">
        <f>SUM(C6:N7)</f>
        <v>2051421</v>
      </c>
    </row>
    <row r="7" spans="1:15" ht="13.5" customHeight="1">
      <c r="A7" s="1497"/>
      <c r="B7" s="1498"/>
      <c r="C7" s="1489"/>
      <c r="D7" s="1489"/>
      <c r="E7" s="1489"/>
      <c r="F7" s="1489"/>
      <c r="G7" s="1489"/>
      <c r="H7" s="1489"/>
      <c r="I7" s="1489"/>
      <c r="J7" s="1489"/>
      <c r="K7" s="1489"/>
      <c r="L7" s="1489"/>
      <c r="M7" s="1489"/>
      <c r="N7" s="1489"/>
      <c r="O7" s="1482"/>
    </row>
    <row r="8" spans="1:15" ht="12" customHeight="1">
      <c r="A8" s="1494" t="s">
        <v>846</v>
      </c>
      <c r="B8" s="1496"/>
      <c r="C8" s="1479">
        <v>120684</v>
      </c>
      <c r="D8" s="1479">
        <v>109470</v>
      </c>
      <c r="E8" s="1479">
        <v>1586962</v>
      </c>
      <c r="F8" s="1479">
        <v>1678653</v>
      </c>
      <c r="G8" s="1479">
        <v>209391</v>
      </c>
      <c r="H8" s="1479">
        <v>60300</v>
      </c>
      <c r="I8" s="1479">
        <v>364381</v>
      </c>
      <c r="J8" s="1479">
        <v>156235</v>
      </c>
      <c r="K8" s="1479">
        <v>1604559</v>
      </c>
      <c r="L8" s="1479">
        <v>1734218</v>
      </c>
      <c r="M8" s="1479">
        <v>178140</v>
      </c>
      <c r="N8" s="1479">
        <v>778626</v>
      </c>
      <c r="O8" s="1477">
        <f>SUM(C8:N8)</f>
        <v>8581619</v>
      </c>
    </row>
    <row r="9" spans="1:15" ht="15.75" customHeight="1">
      <c r="A9" s="1497"/>
      <c r="B9" s="1498"/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2"/>
    </row>
    <row r="10" spans="1:15" ht="17.25" customHeight="1">
      <c r="A10" s="1494" t="s">
        <v>847</v>
      </c>
      <c r="B10" s="1484"/>
      <c r="C10" s="1479">
        <v>183301</v>
      </c>
      <c r="D10" s="1479">
        <v>281043</v>
      </c>
      <c r="E10" s="1479">
        <v>210283</v>
      </c>
      <c r="F10" s="1479">
        <v>161343</v>
      </c>
      <c r="G10" s="1479">
        <v>285457</v>
      </c>
      <c r="H10" s="1479">
        <v>213217</v>
      </c>
      <c r="I10" s="1479">
        <v>191064</v>
      </c>
      <c r="J10" s="1479">
        <v>265531</v>
      </c>
      <c r="K10" s="1479">
        <v>159247</v>
      </c>
      <c r="L10" s="1479">
        <v>277482</v>
      </c>
      <c r="M10" s="1479">
        <v>211869</v>
      </c>
      <c r="N10" s="1479">
        <v>240398</v>
      </c>
      <c r="O10" s="1477">
        <f>SUM(C10:N10)</f>
        <v>2680235</v>
      </c>
    </row>
    <row r="11" spans="1:15" ht="22.5" customHeight="1">
      <c r="A11" s="1487"/>
      <c r="B11" s="1488"/>
      <c r="C11" s="1489"/>
      <c r="D11" s="1489"/>
      <c r="E11" s="1489"/>
      <c r="F11" s="1489"/>
      <c r="G11" s="1489"/>
      <c r="H11" s="1489"/>
      <c r="I11" s="1489"/>
      <c r="J11" s="1489"/>
      <c r="K11" s="1489"/>
      <c r="L11" s="1489"/>
      <c r="M11" s="1489"/>
      <c r="N11" s="1489"/>
      <c r="O11" s="1482"/>
    </row>
    <row r="12" spans="1:15" ht="20.25" customHeight="1">
      <c r="A12" s="1494" t="s">
        <v>848</v>
      </c>
      <c r="B12" s="1484"/>
      <c r="C12" s="1479"/>
      <c r="D12" s="1479">
        <v>259034</v>
      </c>
      <c r="E12" s="1479">
        <v>280000</v>
      </c>
      <c r="F12" s="1479">
        <v>3729</v>
      </c>
      <c r="G12" s="1479"/>
      <c r="H12" s="1479"/>
      <c r="I12" s="1479"/>
      <c r="J12" s="1479">
        <v>4565</v>
      </c>
      <c r="K12" s="1479"/>
      <c r="L12" s="1479"/>
      <c r="M12" s="1479"/>
      <c r="N12" s="1479"/>
      <c r="O12" s="1477">
        <f>SUM(C12:N12)</f>
        <v>547328</v>
      </c>
    </row>
    <row r="13" spans="1:15" ht="15" customHeight="1">
      <c r="A13" s="1487"/>
      <c r="B13" s="1488"/>
      <c r="C13" s="1489"/>
      <c r="D13" s="1489"/>
      <c r="E13" s="1489"/>
      <c r="F13" s="1489"/>
      <c r="G13" s="1489"/>
      <c r="H13" s="1489"/>
      <c r="I13" s="1489"/>
      <c r="J13" s="1489"/>
      <c r="K13" s="1489"/>
      <c r="L13" s="1489"/>
      <c r="M13" s="1489"/>
      <c r="N13" s="1489"/>
      <c r="O13" s="1482"/>
    </row>
    <row r="14" spans="1:15" ht="14.25" customHeight="1">
      <c r="A14" s="1483" t="s">
        <v>849</v>
      </c>
      <c r="B14" s="1484"/>
      <c r="C14" s="1479">
        <v>58572</v>
      </c>
      <c r="D14" s="1479">
        <v>24563</v>
      </c>
      <c r="E14" s="1479">
        <v>23771</v>
      </c>
      <c r="F14" s="1479">
        <v>25368</v>
      </c>
      <c r="G14" s="1479">
        <v>98051</v>
      </c>
      <c r="H14" s="1479">
        <v>48604</v>
      </c>
      <c r="I14" s="1479">
        <v>38493</v>
      </c>
      <c r="J14" s="1479">
        <v>128821</v>
      </c>
      <c r="K14" s="1479">
        <v>500000</v>
      </c>
      <c r="L14" s="1479"/>
      <c r="M14" s="1479"/>
      <c r="N14" s="1479">
        <v>40715</v>
      </c>
      <c r="O14" s="1477">
        <f>SUM(C14:N14)</f>
        <v>986958</v>
      </c>
    </row>
    <row r="15" spans="1:15" ht="14.25" customHeight="1">
      <c r="A15" s="1487"/>
      <c r="B15" s="1488"/>
      <c r="C15" s="1489"/>
      <c r="D15" s="1489"/>
      <c r="E15" s="1489"/>
      <c r="F15" s="1489"/>
      <c r="G15" s="1489"/>
      <c r="H15" s="1489"/>
      <c r="I15" s="1489"/>
      <c r="J15" s="1489"/>
      <c r="K15" s="1489"/>
      <c r="L15" s="1489"/>
      <c r="M15" s="1489"/>
      <c r="N15" s="1489"/>
      <c r="O15" s="1482"/>
    </row>
    <row r="16" spans="1:15" ht="12" customHeight="1">
      <c r="A16" s="1483" t="s">
        <v>850</v>
      </c>
      <c r="B16" s="1484"/>
      <c r="C16" s="1479">
        <v>119416</v>
      </c>
      <c r="D16" s="1479">
        <v>119416</v>
      </c>
      <c r="E16" s="1479">
        <v>1916</v>
      </c>
      <c r="F16" s="1479">
        <v>1916</v>
      </c>
      <c r="G16" s="1479">
        <v>1916</v>
      </c>
      <c r="H16" s="1479">
        <v>1916</v>
      </c>
      <c r="I16" s="1479">
        <v>1916</v>
      </c>
      <c r="J16" s="1479">
        <v>1916</v>
      </c>
      <c r="K16" s="1479">
        <v>99520</v>
      </c>
      <c r="L16" s="1479">
        <v>1916</v>
      </c>
      <c r="M16" s="1479">
        <v>1916</v>
      </c>
      <c r="N16" s="1479">
        <v>3377</v>
      </c>
      <c r="O16" s="1477">
        <f>SUM(C16:N16)</f>
        <v>357057</v>
      </c>
    </row>
    <row r="17" spans="1:15" ht="17.25" customHeight="1">
      <c r="A17" s="1487"/>
      <c r="B17" s="1488"/>
      <c r="C17" s="1489"/>
      <c r="D17" s="1489"/>
      <c r="E17" s="1489"/>
      <c r="F17" s="1489"/>
      <c r="G17" s="1489"/>
      <c r="H17" s="1489"/>
      <c r="I17" s="1489"/>
      <c r="J17" s="1489"/>
      <c r="K17" s="1489"/>
      <c r="L17" s="1489"/>
      <c r="M17" s="1489"/>
      <c r="N17" s="1489"/>
      <c r="O17" s="1482"/>
    </row>
    <row r="18" spans="1:15" ht="14.25" customHeight="1">
      <c r="A18" s="1483" t="s">
        <v>851</v>
      </c>
      <c r="B18" s="1484"/>
      <c r="C18" s="1479">
        <v>2238828</v>
      </c>
      <c r="D18" s="1479"/>
      <c r="E18" s="1479"/>
      <c r="F18" s="1479"/>
      <c r="G18" s="1479">
        <v>4089059</v>
      </c>
      <c r="H18" s="1479"/>
      <c r="I18" s="1479"/>
      <c r="J18" s="1479"/>
      <c r="K18" s="1479">
        <v>2000000</v>
      </c>
      <c r="L18" s="1479"/>
      <c r="M18" s="1479"/>
      <c r="N18" s="1479">
        <v>42784</v>
      </c>
      <c r="O18" s="1477">
        <f>SUM(C18:N18)</f>
        <v>8370671</v>
      </c>
    </row>
    <row r="19" spans="1:15" ht="14.25" customHeight="1" thickBot="1">
      <c r="A19" s="1485"/>
      <c r="B19" s="1486"/>
      <c r="C19" s="1480"/>
      <c r="D19" s="1480"/>
      <c r="E19" s="1480"/>
      <c r="F19" s="1480"/>
      <c r="G19" s="1480"/>
      <c r="H19" s="1480"/>
      <c r="I19" s="1480"/>
      <c r="J19" s="1480"/>
      <c r="K19" s="1480"/>
      <c r="L19" s="1480"/>
      <c r="M19" s="1480"/>
      <c r="N19" s="1480"/>
      <c r="O19" s="1478"/>
    </row>
    <row r="20" spans="1:15" ht="18" customHeight="1" thickBot="1">
      <c r="A20" s="1052" t="s">
        <v>852</v>
      </c>
      <c r="B20" s="1053"/>
      <c r="C20" s="1054">
        <f aca="true" t="shared" si="0" ref="C20:O20">SUM(C6:C19)</f>
        <v>2895297</v>
      </c>
      <c r="D20" s="1054">
        <f t="shared" si="0"/>
        <v>923735</v>
      </c>
      <c r="E20" s="1054">
        <f t="shared" si="0"/>
        <v>2250189</v>
      </c>
      <c r="F20" s="1054">
        <f t="shared" si="0"/>
        <v>2055239</v>
      </c>
      <c r="G20" s="1054">
        <f t="shared" si="0"/>
        <v>4842843</v>
      </c>
      <c r="H20" s="1054">
        <f t="shared" si="0"/>
        <v>475025</v>
      </c>
      <c r="I20" s="1054">
        <f t="shared" si="0"/>
        <v>748435</v>
      </c>
      <c r="J20" s="1054">
        <f t="shared" si="0"/>
        <v>722068</v>
      </c>
      <c r="K20" s="1054">
        <f t="shared" si="0"/>
        <v>4554262</v>
      </c>
      <c r="L20" s="1054">
        <f t="shared" si="0"/>
        <v>2183616</v>
      </c>
      <c r="M20" s="1054">
        <f t="shared" si="0"/>
        <v>561925</v>
      </c>
      <c r="N20" s="1054">
        <f t="shared" si="0"/>
        <v>1362655</v>
      </c>
      <c r="O20" s="1055">
        <f t="shared" si="0"/>
        <v>23575289</v>
      </c>
    </row>
    <row r="21" spans="1:15" ht="15" customHeight="1" thickBot="1">
      <c r="A21" s="1056" t="s">
        <v>316</v>
      </c>
      <c r="B21" s="1049"/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7"/>
      <c r="O21" s="1058"/>
    </row>
    <row r="22" spans="1:15" ht="12" customHeight="1">
      <c r="A22" s="1492" t="s">
        <v>853</v>
      </c>
      <c r="B22" s="1493"/>
      <c r="C22" s="1490">
        <v>429763</v>
      </c>
      <c r="D22" s="1490">
        <v>286509</v>
      </c>
      <c r="E22" s="1490">
        <v>321822</v>
      </c>
      <c r="F22" s="1490">
        <v>323453</v>
      </c>
      <c r="G22" s="1490">
        <v>416012</v>
      </c>
      <c r="H22" s="1490">
        <v>429763</v>
      </c>
      <c r="I22" s="1490">
        <v>429763</v>
      </c>
      <c r="J22" s="1490">
        <v>286509</v>
      </c>
      <c r="K22" s="1490">
        <v>292651</v>
      </c>
      <c r="L22" s="1490">
        <v>286509</v>
      </c>
      <c r="M22" s="1490">
        <v>286509</v>
      </c>
      <c r="N22" s="1490">
        <v>411683</v>
      </c>
      <c r="O22" s="1477">
        <f>SUM(C22:N23)</f>
        <v>4200946</v>
      </c>
    </row>
    <row r="23" spans="1:15" ht="12.75" customHeight="1">
      <c r="A23" s="1487"/>
      <c r="B23" s="1488"/>
      <c r="C23" s="1491"/>
      <c r="D23" s="1491"/>
      <c r="E23" s="1491"/>
      <c r="F23" s="1491"/>
      <c r="G23" s="1491"/>
      <c r="H23" s="1491"/>
      <c r="I23" s="1491"/>
      <c r="J23" s="1491"/>
      <c r="K23" s="1491"/>
      <c r="L23" s="1491"/>
      <c r="M23" s="1491"/>
      <c r="N23" s="1491"/>
      <c r="O23" s="1482"/>
    </row>
    <row r="24" spans="1:15" ht="15" customHeight="1">
      <c r="A24" s="1483" t="s">
        <v>854</v>
      </c>
      <c r="B24" s="1484"/>
      <c r="C24" s="1479">
        <v>92543</v>
      </c>
      <c r="D24" s="1479">
        <v>61695</v>
      </c>
      <c r="E24" s="1479">
        <v>61695</v>
      </c>
      <c r="F24" s="1479">
        <v>73779</v>
      </c>
      <c r="G24" s="1479">
        <v>134817</v>
      </c>
      <c r="H24" s="1479">
        <v>61695</v>
      </c>
      <c r="I24" s="1479">
        <v>123390</v>
      </c>
      <c r="J24" s="1479">
        <v>61695</v>
      </c>
      <c r="K24" s="1479">
        <v>64429</v>
      </c>
      <c r="L24" s="1479">
        <v>61695</v>
      </c>
      <c r="M24" s="1479">
        <v>61695</v>
      </c>
      <c r="N24" s="1479">
        <v>98701</v>
      </c>
      <c r="O24" s="1477">
        <f>SUM(C24:N25)</f>
        <v>957829</v>
      </c>
    </row>
    <row r="25" spans="1:15" ht="14.25" customHeight="1">
      <c r="A25" s="1487"/>
      <c r="B25" s="1488"/>
      <c r="C25" s="1481"/>
      <c r="D25" s="1481"/>
      <c r="E25" s="1481"/>
      <c r="F25" s="1481"/>
      <c r="G25" s="1481"/>
      <c r="H25" s="1481"/>
      <c r="I25" s="1481"/>
      <c r="J25" s="1481"/>
      <c r="K25" s="1481"/>
      <c r="L25" s="1481"/>
      <c r="M25" s="1481"/>
      <c r="N25" s="1481"/>
      <c r="O25" s="1482"/>
    </row>
    <row r="26" spans="1:15" ht="12" customHeight="1">
      <c r="A26" s="1483" t="s">
        <v>855</v>
      </c>
      <c r="B26" s="1484"/>
      <c r="C26" s="1479">
        <v>497873</v>
      </c>
      <c r="D26" s="1479">
        <v>497873</v>
      </c>
      <c r="E26" s="1479">
        <v>699275</v>
      </c>
      <c r="F26" s="1479">
        <v>597873</v>
      </c>
      <c r="G26" s="1479">
        <v>631823</v>
      </c>
      <c r="H26" s="1479">
        <v>339149</v>
      </c>
      <c r="I26" s="1479">
        <v>339149</v>
      </c>
      <c r="J26" s="1479">
        <v>339149</v>
      </c>
      <c r="K26" s="1479">
        <v>482364</v>
      </c>
      <c r="L26" s="1479">
        <v>631612</v>
      </c>
      <c r="M26" s="1479">
        <v>688105</v>
      </c>
      <c r="N26" s="1479">
        <v>780852</v>
      </c>
      <c r="O26" s="1477">
        <f>SUM(C26:N27)</f>
        <v>6525097</v>
      </c>
    </row>
    <row r="27" spans="1:15" ht="15" customHeight="1">
      <c r="A27" s="1487"/>
      <c r="B27" s="1488"/>
      <c r="C27" s="1481"/>
      <c r="D27" s="1481"/>
      <c r="E27" s="1481"/>
      <c r="F27" s="1481"/>
      <c r="G27" s="1481"/>
      <c r="H27" s="1481"/>
      <c r="I27" s="1481"/>
      <c r="J27" s="1481"/>
      <c r="K27" s="1481"/>
      <c r="L27" s="1481"/>
      <c r="M27" s="1481"/>
      <c r="N27" s="1481"/>
      <c r="O27" s="1482"/>
    </row>
    <row r="28" spans="1:15" ht="12" customHeight="1">
      <c r="A28" s="1483" t="s">
        <v>856</v>
      </c>
      <c r="B28" s="1484"/>
      <c r="C28" s="1479">
        <v>17755</v>
      </c>
      <c r="D28" s="1479">
        <v>17755</v>
      </c>
      <c r="E28" s="1479">
        <v>17755</v>
      </c>
      <c r="F28" s="1479">
        <v>17755</v>
      </c>
      <c r="G28" s="1479">
        <v>18711</v>
      </c>
      <c r="H28" s="1479">
        <v>17755</v>
      </c>
      <c r="I28" s="1479">
        <v>17755</v>
      </c>
      <c r="J28" s="1479">
        <v>17755</v>
      </c>
      <c r="K28" s="1479">
        <v>20307</v>
      </c>
      <c r="L28" s="1479">
        <v>22205</v>
      </c>
      <c r="M28" s="1479">
        <v>17755</v>
      </c>
      <c r="N28" s="1479">
        <v>28544</v>
      </c>
      <c r="O28" s="1477">
        <f>SUM(C28:N29)</f>
        <v>231807</v>
      </c>
    </row>
    <row r="29" spans="1:15" ht="15.75" customHeight="1">
      <c r="A29" s="1487"/>
      <c r="B29" s="1488"/>
      <c r="C29" s="1481"/>
      <c r="D29" s="1481"/>
      <c r="E29" s="1481"/>
      <c r="F29" s="1481"/>
      <c r="G29" s="1481"/>
      <c r="H29" s="1481"/>
      <c r="I29" s="1481"/>
      <c r="J29" s="1481"/>
      <c r="K29" s="1481"/>
      <c r="L29" s="1481"/>
      <c r="M29" s="1481"/>
      <c r="N29" s="1481"/>
      <c r="O29" s="1482"/>
    </row>
    <row r="30" spans="1:15" ht="12" customHeight="1">
      <c r="A30" s="1483" t="s">
        <v>857</v>
      </c>
      <c r="B30" s="1484"/>
      <c r="C30" s="1479">
        <v>96407</v>
      </c>
      <c r="D30" s="1479">
        <v>91785</v>
      </c>
      <c r="E30" s="1479">
        <v>112824</v>
      </c>
      <c r="F30" s="1479">
        <v>112544</v>
      </c>
      <c r="G30" s="1479">
        <v>100834</v>
      </c>
      <c r="H30" s="1479">
        <v>136747</v>
      </c>
      <c r="I30" s="1479">
        <v>241073</v>
      </c>
      <c r="J30" s="1479">
        <v>213492</v>
      </c>
      <c r="K30" s="1479">
        <v>189218</v>
      </c>
      <c r="L30" s="1479">
        <v>250000</v>
      </c>
      <c r="M30" s="1479">
        <v>352352</v>
      </c>
      <c r="N30" s="1479">
        <v>248919</v>
      </c>
      <c r="O30" s="1477">
        <f>SUM(C30:N31)</f>
        <v>2146195</v>
      </c>
    </row>
    <row r="31" spans="1:15" ht="12" customHeight="1">
      <c r="A31" s="1487"/>
      <c r="B31" s="1488"/>
      <c r="C31" s="1489"/>
      <c r="D31" s="1489"/>
      <c r="E31" s="1489"/>
      <c r="F31" s="1489"/>
      <c r="G31" s="1489"/>
      <c r="H31" s="1489"/>
      <c r="I31" s="1489"/>
      <c r="J31" s="1489"/>
      <c r="K31" s="1489"/>
      <c r="L31" s="1489"/>
      <c r="M31" s="1489"/>
      <c r="N31" s="1489"/>
      <c r="O31" s="1482"/>
    </row>
    <row r="32" spans="1:15" ht="12" customHeight="1">
      <c r="A32" s="1483" t="s">
        <v>858</v>
      </c>
      <c r="B32" s="1484"/>
      <c r="C32" s="1479">
        <v>17159</v>
      </c>
      <c r="D32" s="1479">
        <v>53159</v>
      </c>
      <c r="E32" s="1479">
        <v>37159</v>
      </c>
      <c r="F32" s="1479">
        <v>20627</v>
      </c>
      <c r="G32" s="1479">
        <v>75777</v>
      </c>
      <c r="H32" s="1479">
        <v>150959</v>
      </c>
      <c r="I32" s="1479">
        <v>121195</v>
      </c>
      <c r="J32" s="1479">
        <v>149551</v>
      </c>
      <c r="K32" s="1479">
        <v>267694</v>
      </c>
      <c r="L32" s="1479">
        <v>289201</v>
      </c>
      <c r="M32" s="1479">
        <v>343095</v>
      </c>
      <c r="N32" s="1479">
        <v>391428</v>
      </c>
      <c r="O32" s="1477">
        <f>SUM(C32:N33)</f>
        <v>1917004</v>
      </c>
    </row>
    <row r="33" spans="1:15" ht="14.25" customHeight="1">
      <c r="A33" s="1487"/>
      <c r="B33" s="1488"/>
      <c r="C33" s="1481"/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2"/>
    </row>
    <row r="34" spans="1:15" ht="15" customHeight="1">
      <c r="A34" s="1483" t="s">
        <v>859</v>
      </c>
      <c r="B34" s="1484"/>
      <c r="C34" s="1479">
        <v>168312</v>
      </c>
      <c r="D34" s="1479">
        <v>13330</v>
      </c>
      <c r="E34" s="1479">
        <v>304331</v>
      </c>
      <c r="F34" s="1479">
        <v>43330</v>
      </c>
      <c r="G34" s="1479">
        <v>150000</v>
      </c>
      <c r="H34" s="1479">
        <v>150000</v>
      </c>
      <c r="I34" s="1479">
        <v>123330</v>
      </c>
      <c r="J34" s="1479">
        <v>200000</v>
      </c>
      <c r="K34" s="1479">
        <v>519530</v>
      </c>
      <c r="L34" s="1479">
        <v>550330</v>
      </c>
      <c r="M34" s="1479">
        <v>695531</v>
      </c>
      <c r="N34" s="1479">
        <v>597766</v>
      </c>
      <c r="O34" s="1477">
        <f>SUM(C34:N35)</f>
        <v>3515790</v>
      </c>
    </row>
    <row r="35" spans="1:15" ht="15" customHeight="1">
      <c r="A35" s="1487"/>
      <c r="B35" s="1488"/>
      <c r="C35" s="1481"/>
      <c r="D35" s="1481"/>
      <c r="E35" s="1481"/>
      <c r="F35" s="1481"/>
      <c r="G35" s="1481"/>
      <c r="H35" s="1481"/>
      <c r="I35" s="1481"/>
      <c r="J35" s="1481"/>
      <c r="K35" s="1481"/>
      <c r="L35" s="1481"/>
      <c r="M35" s="1481"/>
      <c r="N35" s="1481"/>
      <c r="O35" s="1482"/>
    </row>
    <row r="36" spans="1:15" ht="15" customHeight="1">
      <c r="A36" s="1483" t="s">
        <v>860</v>
      </c>
      <c r="B36" s="1484"/>
      <c r="C36" s="1479">
        <v>50000</v>
      </c>
      <c r="D36" s="1479">
        <v>100000</v>
      </c>
      <c r="E36" s="1479">
        <v>100000</v>
      </c>
      <c r="F36" s="1479">
        <v>128313</v>
      </c>
      <c r="G36" s="1479">
        <v>150000</v>
      </c>
      <c r="H36" s="1479">
        <v>100000</v>
      </c>
      <c r="I36" s="1479">
        <v>100000</v>
      </c>
      <c r="J36" s="1479">
        <v>100000</v>
      </c>
      <c r="K36" s="1479">
        <v>250000</v>
      </c>
      <c r="L36" s="1479">
        <v>250000</v>
      </c>
      <c r="M36" s="1479">
        <v>435397</v>
      </c>
      <c r="N36" s="1479">
        <v>181727</v>
      </c>
      <c r="O36" s="1477">
        <f>SUM(C36:N37)</f>
        <v>1945437</v>
      </c>
    </row>
    <row r="37" spans="1:15" ht="15" customHeight="1">
      <c r="A37" s="1487"/>
      <c r="B37" s="1488"/>
      <c r="C37" s="1481"/>
      <c r="D37" s="1481"/>
      <c r="E37" s="1481"/>
      <c r="F37" s="1481"/>
      <c r="G37" s="1481"/>
      <c r="H37" s="1481"/>
      <c r="I37" s="1481"/>
      <c r="J37" s="1481"/>
      <c r="K37" s="1481"/>
      <c r="L37" s="1481"/>
      <c r="M37" s="1481"/>
      <c r="N37" s="1481"/>
      <c r="O37" s="1482"/>
    </row>
    <row r="38" spans="1:15" ht="14.25" customHeight="1">
      <c r="A38" s="1483" t="s">
        <v>861</v>
      </c>
      <c r="B38" s="1484"/>
      <c r="C38" s="1479">
        <v>44400</v>
      </c>
      <c r="D38" s="1479"/>
      <c r="E38" s="1479">
        <v>2012000</v>
      </c>
      <c r="F38" s="1479"/>
      <c r="G38" s="1479"/>
      <c r="H38" s="1479">
        <v>12000</v>
      </c>
      <c r="I38" s="1479"/>
      <c r="J38" s="1479"/>
      <c r="K38" s="1479">
        <v>12000</v>
      </c>
      <c r="L38" s="1479"/>
      <c r="M38" s="1479"/>
      <c r="N38" s="1479">
        <v>54784</v>
      </c>
      <c r="O38" s="1477">
        <f>SUM(C38:N39)</f>
        <v>2135184</v>
      </c>
    </row>
    <row r="39" spans="1:15" ht="22.5" customHeight="1" thickBot="1">
      <c r="A39" s="1485"/>
      <c r="B39" s="1486"/>
      <c r="C39" s="1480"/>
      <c r="D39" s="1480"/>
      <c r="E39" s="1480"/>
      <c r="F39" s="1480"/>
      <c r="G39" s="1480"/>
      <c r="H39" s="1480"/>
      <c r="I39" s="1480"/>
      <c r="J39" s="1480"/>
      <c r="K39" s="1480"/>
      <c r="L39" s="1480"/>
      <c r="M39" s="1480"/>
      <c r="N39" s="1480"/>
      <c r="O39" s="1478"/>
    </row>
    <row r="40" spans="1:15" ht="18" customHeight="1" thickBot="1">
      <c r="A40" s="1059" t="s">
        <v>862</v>
      </c>
      <c r="B40" s="1060"/>
      <c r="C40" s="1054">
        <f aca="true" t="shared" si="1" ref="C40:O40">SUM(C22:C39)</f>
        <v>1414212</v>
      </c>
      <c r="D40" s="1054">
        <f t="shared" si="1"/>
        <v>1122106</v>
      </c>
      <c r="E40" s="1054">
        <f t="shared" si="1"/>
        <v>3666861</v>
      </c>
      <c r="F40" s="1054">
        <f t="shared" si="1"/>
        <v>1317674</v>
      </c>
      <c r="G40" s="1054">
        <f t="shared" si="1"/>
        <v>1677974</v>
      </c>
      <c r="H40" s="1054">
        <f t="shared" si="1"/>
        <v>1398068</v>
      </c>
      <c r="I40" s="1054">
        <f t="shared" si="1"/>
        <v>1495655</v>
      </c>
      <c r="J40" s="1054">
        <f t="shared" si="1"/>
        <v>1368151</v>
      </c>
      <c r="K40" s="1054">
        <f t="shared" si="1"/>
        <v>2098193</v>
      </c>
      <c r="L40" s="1054">
        <f t="shared" si="1"/>
        <v>2341552</v>
      </c>
      <c r="M40" s="1054">
        <f t="shared" si="1"/>
        <v>2880439</v>
      </c>
      <c r="N40" s="1054">
        <f t="shared" si="1"/>
        <v>2794404</v>
      </c>
      <c r="O40" s="1055">
        <f t="shared" si="1"/>
        <v>23575289</v>
      </c>
    </row>
    <row r="41" spans="1:15" ht="12.75">
      <c r="A41" s="1061"/>
      <c r="B41" s="1061"/>
      <c r="C41" s="1061"/>
      <c r="D41" s="1061"/>
      <c r="E41" s="1061"/>
      <c r="F41" s="1061"/>
      <c r="G41" s="1061"/>
      <c r="H41" s="1061"/>
      <c r="I41" s="1061"/>
      <c r="J41" s="1061"/>
      <c r="K41" s="1061"/>
      <c r="L41" s="1061"/>
      <c r="M41" s="1061"/>
      <c r="N41" s="1061"/>
      <c r="O41" s="1061"/>
    </row>
  </sheetData>
  <sheetProtection/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5"/>
  <sheetViews>
    <sheetView showZeros="0" zoomScaleSheetLayoutView="100" zoomScalePageLayoutView="0" workbookViewId="0" topLeftCell="A235">
      <selection activeCell="H255" sqref="H255"/>
    </sheetView>
  </sheetViews>
  <sheetFormatPr defaultColWidth="9.00390625" defaultRowHeight="12.75"/>
  <cols>
    <col min="1" max="1" width="8.375" style="148" customWidth="1"/>
    <col min="2" max="2" width="72.125" style="105" customWidth="1"/>
    <col min="3" max="7" width="12.125" style="105" customWidth="1"/>
    <col min="8" max="8" width="8.625" style="105" customWidth="1"/>
    <col min="9" max="9" width="10.375" style="105" customWidth="1"/>
    <col min="10" max="16384" width="9.125" style="105" customWidth="1"/>
  </cols>
  <sheetData>
    <row r="1" spans="1:8" ht="12.75">
      <c r="A1" s="1261" t="s">
        <v>190</v>
      </c>
      <c r="B1" s="1261"/>
      <c r="C1" s="1262"/>
      <c r="D1" s="1262"/>
      <c r="E1" s="1262"/>
      <c r="F1" s="1262"/>
      <c r="G1" s="1262"/>
      <c r="H1" s="1263"/>
    </row>
    <row r="2" spans="1:8" ht="12.75">
      <c r="A2" s="1261" t="s">
        <v>1072</v>
      </c>
      <c r="B2" s="1261"/>
      <c r="C2" s="1262"/>
      <c r="D2" s="1262"/>
      <c r="E2" s="1262"/>
      <c r="F2" s="1262"/>
      <c r="G2" s="1262"/>
      <c r="H2" s="1263"/>
    </row>
    <row r="3" spans="1:2" ht="12.75">
      <c r="A3" s="103"/>
      <c r="B3" s="104"/>
    </row>
    <row r="4" spans="1:8" ht="11.25" customHeight="1">
      <c r="A4" s="103"/>
      <c r="B4" s="103"/>
      <c r="C4" s="106"/>
      <c r="D4" s="106"/>
      <c r="E4" s="106"/>
      <c r="F4" s="106"/>
      <c r="G4" s="106"/>
      <c r="H4" s="632" t="s">
        <v>191</v>
      </c>
    </row>
    <row r="5" spans="1:8" s="107" customFormat="1" ht="19.5" customHeight="1">
      <c r="A5" s="1268" t="s">
        <v>199</v>
      </c>
      <c r="B5" s="1266" t="s">
        <v>185</v>
      </c>
      <c r="C5" s="1258" t="s">
        <v>1130</v>
      </c>
      <c r="D5" s="1258" t="s">
        <v>1187</v>
      </c>
      <c r="E5" s="1258" t="s">
        <v>1203</v>
      </c>
      <c r="F5" s="1258" t="s">
        <v>1224</v>
      </c>
      <c r="G5" s="1258" t="s">
        <v>1229</v>
      </c>
      <c r="H5" s="1264" t="s">
        <v>1231</v>
      </c>
    </row>
    <row r="6" spans="1:8" s="107" customFormat="1" ht="17.25" customHeight="1">
      <c r="A6" s="1267"/>
      <c r="B6" s="1267"/>
      <c r="C6" s="1269"/>
      <c r="D6" s="1269"/>
      <c r="E6" s="1269"/>
      <c r="F6" s="1269"/>
      <c r="G6" s="1269"/>
      <c r="H6" s="1265"/>
    </row>
    <row r="7" spans="1:8" s="107" customFormat="1" ht="11.25" customHeight="1">
      <c r="A7" s="108" t="s">
        <v>172</v>
      </c>
      <c r="B7" s="109" t="s">
        <v>173</v>
      </c>
      <c r="C7" s="214" t="s">
        <v>174</v>
      </c>
      <c r="D7" s="214" t="s">
        <v>175</v>
      </c>
      <c r="E7" s="214" t="s">
        <v>176</v>
      </c>
      <c r="F7" s="214" t="s">
        <v>47</v>
      </c>
      <c r="G7" s="214" t="s">
        <v>386</v>
      </c>
      <c r="H7" s="109" t="s">
        <v>618</v>
      </c>
    </row>
    <row r="8" spans="1:8" s="112" customFormat="1" ht="16.5" customHeight="1">
      <c r="A8" s="110"/>
      <c r="B8" s="239" t="s">
        <v>361</v>
      </c>
      <c r="C8" s="230"/>
      <c r="D8" s="230"/>
      <c r="E8" s="230"/>
      <c r="F8" s="230"/>
      <c r="G8" s="230"/>
      <c r="H8" s="186"/>
    </row>
    <row r="9" spans="1:8" ht="12" customHeight="1">
      <c r="A9" s="113"/>
      <c r="B9" s="114"/>
      <c r="C9" s="185"/>
      <c r="D9" s="185"/>
      <c r="E9" s="185"/>
      <c r="F9" s="185"/>
      <c r="G9" s="185"/>
      <c r="H9" s="114"/>
    </row>
    <row r="10" spans="1:8" ht="12" customHeight="1">
      <c r="A10" s="117">
        <v>1010</v>
      </c>
      <c r="B10" s="127" t="s">
        <v>217</v>
      </c>
      <c r="C10" s="654">
        <f>SUM(C11:C16)</f>
        <v>1701515</v>
      </c>
      <c r="D10" s="654">
        <f>SUM(D11:D16)</f>
        <v>1766182</v>
      </c>
      <c r="E10" s="654">
        <f>SUM(E11:E16)</f>
        <v>1957100</v>
      </c>
      <c r="F10" s="654">
        <f>SUM(F11:F16)</f>
        <v>1957533</v>
      </c>
      <c r="G10" s="1213">
        <f>SUM(G11:G16)</f>
        <v>1978771</v>
      </c>
      <c r="H10" s="288">
        <f>SUM(G10/F10)</f>
        <v>1.0108493701000187</v>
      </c>
    </row>
    <row r="11" spans="1:8" ht="12" customHeight="1">
      <c r="A11" s="113">
        <v>1011</v>
      </c>
      <c r="B11" s="114" t="s">
        <v>218</v>
      </c>
      <c r="C11" s="732"/>
      <c r="D11" s="732">
        <v>1438</v>
      </c>
      <c r="E11" s="732">
        <v>1438</v>
      </c>
      <c r="F11" s="732">
        <v>1438</v>
      </c>
      <c r="G11" s="1209">
        <v>1438</v>
      </c>
      <c r="H11" s="837">
        <f aca="true" t="shared" si="0" ref="H11:H74">SUM(G11/F11)</f>
        <v>1</v>
      </c>
    </row>
    <row r="12" spans="1:8" ht="12" customHeight="1">
      <c r="A12" s="113">
        <v>1012</v>
      </c>
      <c r="B12" s="114" t="s">
        <v>219</v>
      </c>
      <c r="C12" s="733">
        <v>799388</v>
      </c>
      <c r="D12" s="733">
        <v>803300</v>
      </c>
      <c r="E12" s="733">
        <v>803300</v>
      </c>
      <c r="F12" s="733">
        <v>799235</v>
      </c>
      <c r="G12" s="1214">
        <v>801109</v>
      </c>
      <c r="H12" s="837">
        <f t="shared" si="0"/>
        <v>1.0023447421596903</v>
      </c>
    </row>
    <row r="13" spans="1:9" ht="12" customHeight="1">
      <c r="A13" s="113">
        <v>1013</v>
      </c>
      <c r="B13" s="114" t="s">
        <v>493</v>
      </c>
      <c r="C13" s="733">
        <v>621951</v>
      </c>
      <c r="D13" s="733">
        <v>670067</v>
      </c>
      <c r="E13" s="733">
        <v>831709</v>
      </c>
      <c r="F13" s="733">
        <v>833912</v>
      </c>
      <c r="G13" s="1214">
        <v>852235</v>
      </c>
      <c r="H13" s="837">
        <f t="shared" si="0"/>
        <v>1.0219723424054337</v>
      </c>
      <c r="I13" s="300"/>
    </row>
    <row r="14" spans="1:9" ht="12" customHeight="1">
      <c r="A14" s="113">
        <v>1014</v>
      </c>
      <c r="B14" s="114" t="s">
        <v>220</v>
      </c>
      <c r="C14" s="732">
        <v>280176</v>
      </c>
      <c r="D14" s="732">
        <v>284653</v>
      </c>
      <c r="E14" s="732">
        <v>286795</v>
      </c>
      <c r="F14" s="732">
        <v>288127</v>
      </c>
      <c r="G14" s="1209">
        <v>288803</v>
      </c>
      <c r="H14" s="837">
        <f t="shared" si="0"/>
        <v>1.0023461876186543</v>
      </c>
      <c r="I14" s="300"/>
    </row>
    <row r="15" spans="1:9" ht="12" customHeight="1">
      <c r="A15" s="113">
        <v>1015</v>
      </c>
      <c r="B15" s="114" t="s">
        <v>2</v>
      </c>
      <c r="C15" s="732"/>
      <c r="D15" s="732">
        <v>6180</v>
      </c>
      <c r="E15" s="732">
        <v>11620</v>
      </c>
      <c r="F15" s="732">
        <v>12583</v>
      </c>
      <c r="G15" s="1209">
        <v>12948</v>
      </c>
      <c r="H15" s="837">
        <f t="shared" si="0"/>
        <v>1.029007390924263</v>
      </c>
      <c r="I15" s="636"/>
    </row>
    <row r="16" spans="1:9" ht="12" customHeight="1">
      <c r="A16" s="113">
        <v>1016</v>
      </c>
      <c r="B16" s="114" t="s">
        <v>3</v>
      </c>
      <c r="C16" s="655"/>
      <c r="D16" s="655">
        <v>544</v>
      </c>
      <c r="E16" s="655">
        <v>22238</v>
      </c>
      <c r="F16" s="655">
        <v>22238</v>
      </c>
      <c r="G16" s="1209">
        <v>22238</v>
      </c>
      <c r="H16" s="837">
        <f t="shared" si="0"/>
        <v>1</v>
      </c>
      <c r="I16" s="300"/>
    </row>
    <row r="17" spans="1:9" ht="12" customHeight="1">
      <c r="A17" s="117">
        <v>1020</v>
      </c>
      <c r="B17" s="127" t="s">
        <v>221</v>
      </c>
      <c r="C17" s="655"/>
      <c r="D17" s="655">
        <v>31</v>
      </c>
      <c r="E17" s="655">
        <v>31</v>
      </c>
      <c r="F17" s="655">
        <v>31</v>
      </c>
      <c r="G17" s="1209">
        <v>108</v>
      </c>
      <c r="H17" s="837">
        <f t="shared" si="0"/>
        <v>3.4838709677419355</v>
      </c>
      <c r="I17" s="300"/>
    </row>
    <row r="18" spans="1:9" ht="12" customHeight="1" thickBot="1">
      <c r="A18" s="143">
        <v>1030</v>
      </c>
      <c r="B18" s="188" t="s">
        <v>460</v>
      </c>
      <c r="C18" s="657"/>
      <c r="D18" s="657">
        <v>4319</v>
      </c>
      <c r="E18" s="657">
        <v>8909</v>
      </c>
      <c r="F18" s="657">
        <v>11770</v>
      </c>
      <c r="G18" s="1208">
        <v>13480</v>
      </c>
      <c r="H18" s="848">
        <f t="shared" si="0"/>
        <v>1.145284621920136</v>
      </c>
      <c r="I18" s="300"/>
    </row>
    <row r="19" spans="1:9" ht="16.5" customHeight="1" thickBot="1">
      <c r="A19" s="141"/>
      <c r="B19" s="231" t="s">
        <v>461</v>
      </c>
      <c r="C19" s="658">
        <f>SUM(C10+C18+C17)</f>
        <v>1701515</v>
      </c>
      <c r="D19" s="658">
        <f>SUM(D10+D18+D17)</f>
        <v>1770532</v>
      </c>
      <c r="E19" s="658">
        <f>SUM(E10+E18+E17)</f>
        <v>1966040</v>
      </c>
      <c r="F19" s="658">
        <f>SUM(F10+F18+F17)</f>
        <v>1969334</v>
      </c>
      <c r="G19" s="1215">
        <f>SUM(G10+G18+G17)</f>
        <v>1992359</v>
      </c>
      <c r="H19" s="1246">
        <f t="shared" si="0"/>
        <v>1.0116917699079992</v>
      </c>
      <c r="I19" s="300"/>
    </row>
    <row r="20" spans="1:8" ht="12" customHeight="1">
      <c r="A20" s="136"/>
      <c r="B20" s="150"/>
      <c r="C20" s="659"/>
      <c r="D20" s="659"/>
      <c r="E20" s="659"/>
      <c r="F20" s="659"/>
      <c r="G20" s="659"/>
      <c r="H20" s="838"/>
    </row>
    <row r="21" spans="1:8" ht="12" customHeight="1">
      <c r="A21" s="115">
        <v>1040</v>
      </c>
      <c r="B21" s="116" t="s">
        <v>224</v>
      </c>
      <c r="C21" s="660">
        <f>SUM(C22:C23)</f>
        <v>3630000</v>
      </c>
      <c r="D21" s="660">
        <f>SUM(D22:D23)</f>
        <v>3630000</v>
      </c>
      <c r="E21" s="660">
        <f>SUM(E22:E23)</f>
        <v>3630000</v>
      </c>
      <c r="F21" s="660">
        <f>SUM(F22:F23)</f>
        <v>3630000</v>
      </c>
      <c r="G21" s="660">
        <f>SUM(G22:G23)</f>
        <v>3630000</v>
      </c>
      <c r="H21" s="288">
        <f t="shared" si="0"/>
        <v>1</v>
      </c>
    </row>
    <row r="22" spans="1:9" ht="12" customHeight="1">
      <c r="A22" s="124">
        <v>1041</v>
      </c>
      <c r="B22" s="122" t="s">
        <v>34</v>
      </c>
      <c r="C22" s="661">
        <v>3080000</v>
      </c>
      <c r="D22" s="661">
        <v>3080000</v>
      </c>
      <c r="E22" s="661">
        <v>3080000</v>
      </c>
      <c r="F22" s="661">
        <v>3080000</v>
      </c>
      <c r="G22" s="661">
        <v>3109529</v>
      </c>
      <c r="H22" s="837">
        <f t="shared" si="0"/>
        <v>1.0095873376623377</v>
      </c>
      <c r="I22" s="148"/>
    </row>
    <row r="23" spans="1:8" ht="12" customHeight="1">
      <c r="A23" s="124">
        <v>1042</v>
      </c>
      <c r="B23" s="122" t="s">
        <v>35</v>
      </c>
      <c r="C23" s="661">
        <v>550000</v>
      </c>
      <c r="D23" s="661">
        <v>550000</v>
      </c>
      <c r="E23" s="661">
        <v>550000</v>
      </c>
      <c r="F23" s="661">
        <v>550000</v>
      </c>
      <c r="G23" s="1211">
        <v>520471</v>
      </c>
      <c r="H23" s="837">
        <f t="shared" si="0"/>
        <v>0.9463109090909091</v>
      </c>
    </row>
    <row r="24" spans="1:8" ht="12" customHeight="1">
      <c r="A24" s="119">
        <v>1050</v>
      </c>
      <c r="B24" s="118" t="s">
        <v>225</v>
      </c>
      <c r="C24" s="660">
        <f>SUM(C25:C27)</f>
        <v>4629284</v>
      </c>
      <c r="D24" s="660">
        <f>SUM(D25:D27)</f>
        <v>4629284</v>
      </c>
      <c r="E24" s="660">
        <f>SUM(E25:E27)</f>
        <v>4629284</v>
      </c>
      <c r="F24" s="660">
        <f>SUM(F25:F27)</f>
        <v>4629284</v>
      </c>
      <c r="G24" s="660">
        <f>SUM(G25:G27)</f>
        <v>4629284</v>
      </c>
      <c r="H24" s="288">
        <f t="shared" si="0"/>
        <v>1</v>
      </c>
    </row>
    <row r="25" spans="1:8" ht="12.75" customHeight="1">
      <c r="A25" s="125">
        <v>1051</v>
      </c>
      <c r="B25" s="114" t="s">
        <v>192</v>
      </c>
      <c r="C25" s="661">
        <v>4289284</v>
      </c>
      <c r="D25" s="661">
        <v>4289284</v>
      </c>
      <c r="E25" s="661">
        <v>4289284</v>
      </c>
      <c r="F25" s="661">
        <v>4289284</v>
      </c>
      <c r="G25" s="661">
        <v>4289284</v>
      </c>
      <c r="H25" s="837">
        <f t="shared" si="0"/>
        <v>1</v>
      </c>
    </row>
    <row r="26" spans="1:8" ht="12.75" customHeight="1">
      <c r="A26" s="125">
        <v>1052</v>
      </c>
      <c r="B26" s="126" t="s">
        <v>462</v>
      </c>
      <c r="C26" s="661">
        <v>200000</v>
      </c>
      <c r="D26" s="661">
        <v>200000</v>
      </c>
      <c r="E26" s="661">
        <v>200000</v>
      </c>
      <c r="F26" s="661">
        <v>200000</v>
      </c>
      <c r="G26" s="661">
        <v>200000</v>
      </c>
      <c r="H26" s="837">
        <f t="shared" si="0"/>
        <v>1</v>
      </c>
    </row>
    <row r="27" spans="1:8" ht="12.75" customHeight="1">
      <c r="A27" s="125">
        <v>1053</v>
      </c>
      <c r="B27" s="121" t="s">
        <v>187</v>
      </c>
      <c r="C27" s="661">
        <v>140000</v>
      </c>
      <c r="D27" s="661">
        <v>140000</v>
      </c>
      <c r="E27" s="661">
        <v>140000</v>
      </c>
      <c r="F27" s="661">
        <v>140000</v>
      </c>
      <c r="G27" s="661">
        <v>140000</v>
      </c>
      <c r="H27" s="837">
        <f t="shared" si="0"/>
        <v>1</v>
      </c>
    </row>
    <row r="28" spans="1:8" ht="12" customHeight="1">
      <c r="A28" s="119">
        <v>1070</v>
      </c>
      <c r="B28" s="118" t="s">
        <v>194</v>
      </c>
      <c r="C28" s="781">
        <f>SUM(C29:C37)</f>
        <v>328560</v>
      </c>
      <c r="D28" s="781">
        <f>SUM(D29:D37)</f>
        <v>328560</v>
      </c>
      <c r="E28" s="781">
        <f>SUM(E29:E37)</f>
        <v>328560</v>
      </c>
      <c r="F28" s="781">
        <f>SUM(F29:F37)</f>
        <v>328560</v>
      </c>
      <c r="G28" s="781">
        <f>SUM(G29:G37)</f>
        <v>304364</v>
      </c>
      <c r="H28" s="288">
        <f t="shared" si="0"/>
        <v>0.9263574385196007</v>
      </c>
    </row>
    <row r="29" spans="1:8" ht="12" customHeight="1">
      <c r="A29" s="125">
        <v>1071</v>
      </c>
      <c r="B29" s="122" t="s">
        <v>226</v>
      </c>
      <c r="C29" s="782">
        <v>10000</v>
      </c>
      <c r="D29" s="782">
        <v>10000</v>
      </c>
      <c r="E29" s="782">
        <v>10000</v>
      </c>
      <c r="F29" s="782">
        <v>10000</v>
      </c>
      <c r="G29" s="782">
        <v>10000</v>
      </c>
      <c r="H29" s="837">
        <f t="shared" si="0"/>
        <v>1</v>
      </c>
    </row>
    <row r="30" spans="1:8" ht="12" customHeight="1">
      <c r="A30" s="125">
        <v>1073</v>
      </c>
      <c r="B30" s="114" t="s">
        <v>227</v>
      </c>
      <c r="C30" s="782"/>
      <c r="D30" s="782"/>
      <c r="E30" s="782"/>
      <c r="F30" s="782"/>
      <c r="G30" s="782"/>
      <c r="H30" s="288"/>
    </row>
    <row r="31" spans="1:8" ht="12" customHeight="1">
      <c r="A31" s="125">
        <v>1074</v>
      </c>
      <c r="B31" s="114" t="s">
        <v>228</v>
      </c>
      <c r="C31" s="782">
        <v>2000</v>
      </c>
      <c r="D31" s="782">
        <v>2000</v>
      </c>
      <c r="E31" s="782">
        <v>2000</v>
      </c>
      <c r="F31" s="782">
        <v>2000</v>
      </c>
      <c r="G31" s="1211"/>
      <c r="H31" s="288">
        <f t="shared" si="0"/>
        <v>0</v>
      </c>
    </row>
    <row r="32" spans="1:8" ht="12" customHeight="1">
      <c r="A32" s="125">
        <v>1075</v>
      </c>
      <c r="B32" s="121" t="s">
        <v>463</v>
      </c>
      <c r="C32" s="782">
        <v>15000</v>
      </c>
      <c r="D32" s="782">
        <v>15000</v>
      </c>
      <c r="E32" s="782">
        <v>15000</v>
      </c>
      <c r="F32" s="782">
        <v>15000</v>
      </c>
      <c r="G32" s="1211">
        <v>10480</v>
      </c>
      <c r="H32" s="837">
        <f t="shared" si="0"/>
        <v>0.6986666666666667</v>
      </c>
    </row>
    <row r="33" spans="1:9" ht="12" customHeight="1">
      <c r="A33" s="125">
        <v>1076</v>
      </c>
      <c r="B33" s="121" t="s">
        <v>464</v>
      </c>
      <c r="C33" s="782">
        <v>6660</v>
      </c>
      <c r="D33" s="782">
        <v>6660</v>
      </c>
      <c r="E33" s="782">
        <v>6660</v>
      </c>
      <c r="F33" s="782">
        <v>6660</v>
      </c>
      <c r="G33" s="782">
        <v>6660</v>
      </c>
      <c r="H33" s="837">
        <f t="shared" si="0"/>
        <v>1</v>
      </c>
      <c r="I33" s="105">
        <v>0</v>
      </c>
    </row>
    <row r="34" spans="1:8" ht="12" customHeight="1">
      <c r="A34" s="125">
        <v>1077</v>
      </c>
      <c r="B34" s="126" t="s">
        <v>229</v>
      </c>
      <c r="C34" s="782">
        <v>246500</v>
      </c>
      <c r="D34" s="782">
        <v>246500</v>
      </c>
      <c r="E34" s="782">
        <v>246500</v>
      </c>
      <c r="F34" s="782">
        <v>246500</v>
      </c>
      <c r="G34" s="1211">
        <v>237662</v>
      </c>
      <c r="H34" s="837">
        <f t="shared" si="0"/>
        <v>0.9641460446247464</v>
      </c>
    </row>
    <row r="35" spans="1:8" ht="12" customHeight="1">
      <c r="A35" s="125">
        <v>1078</v>
      </c>
      <c r="B35" s="122" t="s">
        <v>230</v>
      </c>
      <c r="C35" s="782">
        <v>5000</v>
      </c>
      <c r="D35" s="782">
        <v>5000</v>
      </c>
      <c r="E35" s="782">
        <v>5000</v>
      </c>
      <c r="F35" s="782">
        <v>5000</v>
      </c>
      <c r="G35" s="782">
        <v>5000</v>
      </c>
      <c r="H35" s="837">
        <f t="shared" si="0"/>
        <v>1</v>
      </c>
    </row>
    <row r="36" spans="1:8" ht="12" customHeight="1">
      <c r="A36" s="125">
        <v>1079</v>
      </c>
      <c r="B36" s="122" t="s">
        <v>483</v>
      </c>
      <c r="C36" s="782">
        <v>2400</v>
      </c>
      <c r="D36" s="782">
        <v>2400</v>
      </c>
      <c r="E36" s="782">
        <v>2400</v>
      </c>
      <c r="F36" s="782">
        <v>2400</v>
      </c>
      <c r="G36" s="1211">
        <v>2309</v>
      </c>
      <c r="H36" s="837">
        <f t="shared" si="0"/>
        <v>0.9620833333333333</v>
      </c>
    </row>
    <row r="37" spans="1:8" ht="13.5" customHeight="1" thickBot="1">
      <c r="A37" s="140">
        <v>1082</v>
      </c>
      <c r="B37" s="287" t="s">
        <v>178</v>
      </c>
      <c r="C37" s="662">
        <v>41000</v>
      </c>
      <c r="D37" s="662">
        <v>41000</v>
      </c>
      <c r="E37" s="662">
        <v>41000</v>
      </c>
      <c r="F37" s="662">
        <v>41000</v>
      </c>
      <c r="G37" s="1210">
        <v>32253</v>
      </c>
      <c r="H37" s="848">
        <f t="shared" si="0"/>
        <v>0.7866585365853659</v>
      </c>
    </row>
    <row r="38" spans="1:8" ht="17.25" customHeight="1" thickBot="1">
      <c r="A38" s="142"/>
      <c r="B38" s="650" t="s">
        <v>231</v>
      </c>
      <c r="C38" s="663">
        <f>SUM(C21+C24+C28)</f>
        <v>8587844</v>
      </c>
      <c r="D38" s="663">
        <f>SUM(D21+D24+D28)</f>
        <v>8587844</v>
      </c>
      <c r="E38" s="663">
        <f>SUM(E21+E24+E28)</f>
        <v>8587844</v>
      </c>
      <c r="F38" s="663">
        <f>SUM(F21+F24+F28)</f>
        <v>8587844</v>
      </c>
      <c r="G38" s="663">
        <f>SUM(G21+G24+G28)</f>
        <v>8563648</v>
      </c>
      <c r="H38" s="1246">
        <f t="shared" si="0"/>
        <v>0.9971825291656439</v>
      </c>
    </row>
    <row r="39" spans="1:8" ht="12" customHeight="1">
      <c r="A39" s="125"/>
      <c r="B39" s="210"/>
      <c r="C39" s="659"/>
      <c r="D39" s="659"/>
      <c r="E39" s="659"/>
      <c r="F39" s="659"/>
      <c r="G39" s="659"/>
      <c r="H39" s="838"/>
    </row>
    <row r="40" spans="1:8" ht="12" customHeight="1">
      <c r="A40" s="119">
        <v>1090</v>
      </c>
      <c r="B40" s="232" t="s">
        <v>232</v>
      </c>
      <c r="C40" s="660">
        <f>SUM(C41:C48)</f>
        <v>1546400</v>
      </c>
      <c r="D40" s="660">
        <f>SUM(D41:D48)</f>
        <v>1546400</v>
      </c>
      <c r="E40" s="660">
        <f>SUM(E41:E48)</f>
        <v>1546400</v>
      </c>
      <c r="F40" s="660">
        <f>SUM(F41:F48)</f>
        <v>1546400</v>
      </c>
      <c r="G40" s="660">
        <f>SUM(G41:G48)</f>
        <v>1539171</v>
      </c>
      <c r="H40" s="288">
        <f t="shared" si="0"/>
        <v>0.9953252715985514</v>
      </c>
    </row>
    <row r="41" spans="1:8" ht="12" customHeight="1">
      <c r="A41" s="125">
        <v>1091</v>
      </c>
      <c r="B41" s="194" t="s">
        <v>522</v>
      </c>
      <c r="C41" s="661">
        <v>200000</v>
      </c>
      <c r="D41" s="661">
        <v>200000</v>
      </c>
      <c r="E41" s="661">
        <v>200000</v>
      </c>
      <c r="F41" s="661">
        <v>200000</v>
      </c>
      <c r="G41" s="1211">
        <v>194956</v>
      </c>
      <c r="H41" s="837">
        <f t="shared" si="0"/>
        <v>0.97478</v>
      </c>
    </row>
    <row r="42" spans="1:8" ht="12" customHeight="1">
      <c r="A42" s="125">
        <v>1092</v>
      </c>
      <c r="B42" s="122" t="s">
        <v>179</v>
      </c>
      <c r="C42" s="661">
        <v>744400</v>
      </c>
      <c r="D42" s="661">
        <v>744400</v>
      </c>
      <c r="E42" s="661">
        <v>744400</v>
      </c>
      <c r="F42" s="661">
        <v>744400</v>
      </c>
      <c r="G42" s="661">
        <v>744400</v>
      </c>
      <c r="H42" s="837">
        <f t="shared" si="0"/>
        <v>1</v>
      </c>
    </row>
    <row r="43" spans="1:8" ht="12" customHeight="1">
      <c r="A43" s="125">
        <v>1093</v>
      </c>
      <c r="B43" s="122" t="s">
        <v>523</v>
      </c>
      <c r="C43" s="661">
        <v>10000</v>
      </c>
      <c r="D43" s="661">
        <v>10000</v>
      </c>
      <c r="E43" s="661">
        <v>10000</v>
      </c>
      <c r="F43" s="661">
        <v>10000</v>
      </c>
      <c r="G43" s="661">
        <v>10000</v>
      </c>
      <c r="H43" s="837">
        <f t="shared" si="0"/>
        <v>1</v>
      </c>
    </row>
    <row r="44" spans="1:9" ht="12" customHeight="1">
      <c r="A44" s="125">
        <v>1094</v>
      </c>
      <c r="B44" s="122" t="s">
        <v>524</v>
      </c>
      <c r="C44" s="661">
        <v>12000</v>
      </c>
      <c r="D44" s="661">
        <v>12000</v>
      </c>
      <c r="E44" s="661">
        <v>12000</v>
      </c>
      <c r="F44" s="661">
        <v>12000</v>
      </c>
      <c r="G44" s="661">
        <v>12000</v>
      </c>
      <c r="H44" s="837">
        <f t="shared" si="0"/>
        <v>1</v>
      </c>
      <c r="I44" s="745"/>
    </row>
    <row r="45" spans="1:8" ht="12" customHeight="1">
      <c r="A45" s="125">
        <v>1095</v>
      </c>
      <c r="B45" s="126" t="s">
        <v>343</v>
      </c>
      <c r="C45" s="661">
        <v>280000</v>
      </c>
      <c r="D45" s="661">
        <v>280000</v>
      </c>
      <c r="E45" s="661">
        <v>280000</v>
      </c>
      <c r="F45" s="661">
        <v>280000</v>
      </c>
      <c r="G45" s="661">
        <v>280000</v>
      </c>
      <c r="H45" s="837">
        <f t="shared" si="0"/>
        <v>1</v>
      </c>
    </row>
    <row r="46" spans="1:8" ht="12" customHeight="1">
      <c r="A46" s="125">
        <v>1096</v>
      </c>
      <c r="B46" s="126" t="s">
        <v>323</v>
      </c>
      <c r="C46" s="661">
        <v>290000</v>
      </c>
      <c r="D46" s="661">
        <v>290000</v>
      </c>
      <c r="E46" s="661">
        <v>290000</v>
      </c>
      <c r="F46" s="661">
        <v>290000</v>
      </c>
      <c r="G46" s="661">
        <v>290000</v>
      </c>
      <c r="H46" s="837">
        <f t="shared" si="0"/>
        <v>1</v>
      </c>
    </row>
    <row r="47" spans="1:9" ht="12" customHeight="1">
      <c r="A47" s="125">
        <v>1097</v>
      </c>
      <c r="B47" s="126" t="s">
        <v>0</v>
      </c>
      <c r="C47" s="661">
        <v>3000</v>
      </c>
      <c r="D47" s="661">
        <v>3000</v>
      </c>
      <c r="E47" s="661">
        <v>3000</v>
      </c>
      <c r="F47" s="661">
        <v>3000</v>
      </c>
      <c r="G47" s="1211">
        <v>3000</v>
      </c>
      <c r="H47" s="837">
        <f t="shared" si="0"/>
        <v>1</v>
      </c>
      <c r="I47" s="745"/>
    </row>
    <row r="48" spans="1:9" ht="12" customHeight="1">
      <c r="A48" s="125">
        <v>1098</v>
      </c>
      <c r="B48" s="126" t="s">
        <v>4</v>
      </c>
      <c r="C48" s="661">
        <v>7000</v>
      </c>
      <c r="D48" s="661">
        <v>7000</v>
      </c>
      <c r="E48" s="661">
        <v>7000</v>
      </c>
      <c r="F48" s="661">
        <v>7000</v>
      </c>
      <c r="G48" s="1211">
        <v>4815</v>
      </c>
      <c r="H48" s="837">
        <f t="shared" si="0"/>
        <v>0.6878571428571428</v>
      </c>
      <c r="I48" s="745"/>
    </row>
    <row r="49" spans="1:8" ht="12" customHeight="1">
      <c r="A49" s="119">
        <v>1100</v>
      </c>
      <c r="B49" s="232" t="s">
        <v>233</v>
      </c>
      <c r="C49" s="660">
        <f>SUM(C50:C52)</f>
        <v>197000</v>
      </c>
      <c r="D49" s="660">
        <f>SUM(D50:D52)</f>
        <v>197000</v>
      </c>
      <c r="E49" s="660">
        <f>SUM(E50:E52)</f>
        <v>197000</v>
      </c>
      <c r="F49" s="660">
        <f>SUM(F50:F52)</f>
        <v>197000</v>
      </c>
      <c r="G49" s="660">
        <f>SUM(G50:G52)</f>
        <v>196103</v>
      </c>
      <c r="H49" s="288">
        <f t="shared" si="0"/>
        <v>0.9954467005076142</v>
      </c>
    </row>
    <row r="50" spans="1:9" ht="12" customHeight="1">
      <c r="A50" s="125">
        <v>1101</v>
      </c>
      <c r="B50" s="126" t="s">
        <v>1</v>
      </c>
      <c r="C50" s="661">
        <v>20000</v>
      </c>
      <c r="D50" s="661">
        <v>20000</v>
      </c>
      <c r="E50" s="661">
        <v>20000</v>
      </c>
      <c r="F50" s="661">
        <v>20000</v>
      </c>
      <c r="G50" s="661">
        <v>20000</v>
      </c>
      <c r="H50" s="837">
        <f t="shared" si="0"/>
        <v>1</v>
      </c>
      <c r="I50" s="745"/>
    </row>
    <row r="51" spans="1:8" ht="12" customHeight="1">
      <c r="A51" s="125">
        <v>1102</v>
      </c>
      <c r="B51" s="122" t="s">
        <v>234</v>
      </c>
      <c r="C51" s="661">
        <v>110000</v>
      </c>
      <c r="D51" s="661">
        <v>110000</v>
      </c>
      <c r="E51" s="661">
        <v>110000</v>
      </c>
      <c r="F51" s="661">
        <v>110000</v>
      </c>
      <c r="G51" s="1211">
        <v>109814</v>
      </c>
      <c r="H51" s="837">
        <f t="shared" si="0"/>
        <v>0.9983090909090909</v>
      </c>
    </row>
    <row r="52" spans="1:8" ht="12" customHeight="1">
      <c r="A52" s="125">
        <v>1103</v>
      </c>
      <c r="B52" s="122" t="s">
        <v>235</v>
      </c>
      <c r="C52" s="661">
        <v>67000</v>
      </c>
      <c r="D52" s="661">
        <v>67000</v>
      </c>
      <c r="E52" s="661">
        <v>67000</v>
      </c>
      <c r="F52" s="661">
        <v>67000</v>
      </c>
      <c r="G52" s="1211">
        <v>66289</v>
      </c>
      <c r="H52" s="837">
        <f t="shared" si="0"/>
        <v>0.9893880597014926</v>
      </c>
    </row>
    <row r="53" spans="1:8" ht="12" customHeight="1">
      <c r="A53" s="570">
        <v>1105</v>
      </c>
      <c r="B53" s="569" t="s">
        <v>368</v>
      </c>
      <c r="C53" s="660"/>
      <c r="D53" s="660"/>
      <c r="E53" s="660"/>
      <c r="F53" s="660"/>
      <c r="G53" s="660"/>
      <c r="H53" s="288"/>
    </row>
    <row r="54" spans="1:8" ht="12" customHeight="1">
      <c r="A54" s="119">
        <v>1110</v>
      </c>
      <c r="B54" s="127" t="s">
        <v>236</v>
      </c>
      <c r="C54" s="661"/>
      <c r="D54" s="661"/>
      <c r="E54" s="661"/>
      <c r="F54" s="661"/>
      <c r="G54" s="661"/>
      <c r="H54" s="288"/>
    </row>
    <row r="55" spans="1:8" ht="12" customHeight="1">
      <c r="A55" s="119">
        <v>1120</v>
      </c>
      <c r="B55" s="127" t="s">
        <v>237</v>
      </c>
      <c r="C55" s="660">
        <f>SUM(C56:C58)</f>
        <v>470718</v>
      </c>
      <c r="D55" s="660">
        <f>SUM(D56:D58)</f>
        <v>470718</v>
      </c>
      <c r="E55" s="660">
        <f>SUM(E56:E58)</f>
        <v>470718</v>
      </c>
      <c r="F55" s="660">
        <f>SUM(F56:F58)</f>
        <v>470718</v>
      </c>
      <c r="G55" s="660">
        <f>SUM(G56:G58)</f>
        <v>468599</v>
      </c>
      <c r="H55" s="288">
        <f t="shared" si="0"/>
        <v>0.9954983663254857</v>
      </c>
    </row>
    <row r="56" spans="1:8" ht="12" customHeight="1">
      <c r="A56" s="125">
        <v>1121</v>
      </c>
      <c r="B56" s="114" t="s">
        <v>319</v>
      </c>
      <c r="C56" s="661">
        <v>68040</v>
      </c>
      <c r="D56" s="661">
        <v>68040</v>
      </c>
      <c r="E56" s="661">
        <v>68040</v>
      </c>
      <c r="F56" s="661">
        <v>68040</v>
      </c>
      <c r="G56" s="1211">
        <v>65921</v>
      </c>
      <c r="H56" s="837">
        <f t="shared" si="0"/>
        <v>0.9688565549676661</v>
      </c>
    </row>
    <row r="57" spans="1:8" ht="12" customHeight="1">
      <c r="A57" s="125">
        <v>1122</v>
      </c>
      <c r="B57" s="114" t="s">
        <v>466</v>
      </c>
      <c r="C57" s="661">
        <v>183600</v>
      </c>
      <c r="D57" s="661">
        <v>183600</v>
      </c>
      <c r="E57" s="661">
        <v>183600</v>
      </c>
      <c r="F57" s="661">
        <v>183600</v>
      </c>
      <c r="G57" s="661">
        <v>183600</v>
      </c>
      <c r="H57" s="837">
        <f t="shared" si="0"/>
        <v>1</v>
      </c>
    </row>
    <row r="58" spans="1:8" ht="12" customHeight="1">
      <c r="A58" s="125">
        <v>1123</v>
      </c>
      <c r="B58" s="121" t="s">
        <v>333</v>
      </c>
      <c r="C58" s="661">
        <v>219078</v>
      </c>
      <c r="D58" s="661">
        <v>219078</v>
      </c>
      <c r="E58" s="661">
        <v>219078</v>
      </c>
      <c r="F58" s="661">
        <v>219078</v>
      </c>
      <c r="G58" s="661">
        <v>219078</v>
      </c>
      <c r="H58" s="837">
        <f t="shared" si="0"/>
        <v>1</v>
      </c>
    </row>
    <row r="59" spans="1:8" ht="12" customHeight="1">
      <c r="A59" s="119">
        <v>1130</v>
      </c>
      <c r="B59" s="118" t="s">
        <v>238</v>
      </c>
      <c r="C59" s="660"/>
      <c r="D59" s="660"/>
      <c r="E59" s="660"/>
      <c r="F59" s="660"/>
      <c r="G59" s="660"/>
      <c r="H59" s="288"/>
    </row>
    <row r="60" spans="1:8" ht="12" customHeight="1">
      <c r="A60" s="119">
        <v>1140</v>
      </c>
      <c r="B60" s="120" t="s">
        <v>488</v>
      </c>
      <c r="C60" s="660">
        <f>SUM(C61)</f>
        <v>15000</v>
      </c>
      <c r="D60" s="660">
        <f>SUM(D61)</f>
        <v>15000</v>
      </c>
      <c r="E60" s="660">
        <f>SUM(E61)</f>
        <v>15000</v>
      </c>
      <c r="F60" s="660">
        <f>SUM(F61)</f>
        <v>15000</v>
      </c>
      <c r="G60" s="660">
        <f>SUM(G61)</f>
        <v>15000</v>
      </c>
      <c r="H60" s="288">
        <f t="shared" si="0"/>
        <v>1</v>
      </c>
    </row>
    <row r="61" spans="1:8" ht="12" customHeight="1">
      <c r="A61" s="125">
        <v>1141</v>
      </c>
      <c r="B61" s="122" t="s">
        <v>102</v>
      </c>
      <c r="C61" s="661">
        <v>15000</v>
      </c>
      <c r="D61" s="661">
        <v>15000</v>
      </c>
      <c r="E61" s="661">
        <v>15000</v>
      </c>
      <c r="F61" s="661">
        <v>15000</v>
      </c>
      <c r="G61" s="661">
        <v>15000</v>
      </c>
      <c r="H61" s="837">
        <f t="shared" si="0"/>
        <v>1</v>
      </c>
    </row>
    <row r="62" spans="1:8" ht="12" customHeight="1">
      <c r="A62" s="117">
        <v>1150</v>
      </c>
      <c r="B62" s="127" t="s">
        <v>239</v>
      </c>
      <c r="C62" s="660">
        <v>10000</v>
      </c>
      <c r="D62" s="660">
        <v>34601</v>
      </c>
      <c r="E62" s="660">
        <v>34601</v>
      </c>
      <c r="F62" s="660">
        <v>34601</v>
      </c>
      <c r="G62" s="660">
        <v>34601</v>
      </c>
      <c r="H62" s="288">
        <f t="shared" si="0"/>
        <v>1</v>
      </c>
    </row>
    <row r="63" spans="1:8" ht="12" customHeight="1" thickBot="1">
      <c r="A63" s="141">
        <v>1151</v>
      </c>
      <c r="B63" s="653" t="s">
        <v>465</v>
      </c>
      <c r="C63" s="668">
        <v>11000</v>
      </c>
      <c r="D63" s="668">
        <v>11000</v>
      </c>
      <c r="E63" s="668">
        <v>11000</v>
      </c>
      <c r="F63" s="668">
        <v>11000</v>
      </c>
      <c r="G63" s="1212">
        <v>9200</v>
      </c>
      <c r="H63" s="839">
        <f t="shared" si="0"/>
        <v>0.8363636363636363</v>
      </c>
    </row>
    <row r="64" spans="1:8" ht="18.75" customHeight="1" thickBot="1">
      <c r="A64" s="142"/>
      <c r="B64" s="241" t="s">
        <v>366</v>
      </c>
      <c r="C64" s="663">
        <f>SUM(C60+C62+C59+C55+C54+C49+C40+C53+C63)</f>
        <v>2250118</v>
      </c>
      <c r="D64" s="663">
        <f>SUM(D60+D62+D59+D55+D54+D49+D40+D53+D63)</f>
        <v>2274719</v>
      </c>
      <c r="E64" s="663">
        <f>SUM(E60+E62+E59+E55+E54+E49+E40+E53+E63)</f>
        <v>2274719</v>
      </c>
      <c r="F64" s="663">
        <f>SUM(F60+F62+F59+F55+F54+F49+F40+F53+F63)</f>
        <v>2274719</v>
      </c>
      <c r="G64" s="663">
        <f>SUM(G60+G62+G59+G55+G54+G49+G40+G53+G63)</f>
        <v>2262674</v>
      </c>
      <c r="H64" s="1246">
        <f t="shared" si="0"/>
        <v>0.9947048404660092</v>
      </c>
    </row>
    <row r="65" spans="1:8" ht="12" customHeight="1">
      <c r="A65" s="137"/>
      <c r="B65" s="233"/>
      <c r="C65" s="659"/>
      <c r="D65" s="659"/>
      <c r="E65" s="659"/>
      <c r="F65" s="659"/>
      <c r="G65" s="659"/>
      <c r="H65" s="838"/>
    </row>
    <row r="66" spans="1:8" ht="15" customHeight="1" thickBot="1">
      <c r="A66" s="129">
        <v>1160</v>
      </c>
      <c r="B66" s="147" t="s">
        <v>240</v>
      </c>
      <c r="C66" s="664"/>
      <c r="D66" s="664">
        <v>8105</v>
      </c>
      <c r="E66" s="664">
        <v>8105</v>
      </c>
      <c r="F66" s="664">
        <v>8105</v>
      </c>
      <c r="G66" s="664">
        <v>8105</v>
      </c>
      <c r="H66" s="848">
        <f t="shared" si="0"/>
        <v>1</v>
      </c>
    </row>
    <row r="67" spans="1:8" ht="18" customHeight="1" thickBot="1">
      <c r="A67" s="142"/>
      <c r="B67" s="231" t="s">
        <v>241</v>
      </c>
      <c r="C67" s="668"/>
      <c r="D67" s="668">
        <f>SUM(D66)</f>
        <v>8105</v>
      </c>
      <c r="E67" s="668">
        <f>SUM(E66)</f>
        <v>8105</v>
      </c>
      <c r="F67" s="668">
        <f>SUM(F66)</f>
        <v>8105</v>
      </c>
      <c r="G67" s="668">
        <f>SUM(G66)</f>
        <v>8105</v>
      </c>
      <c r="H67" s="1246">
        <f t="shared" si="0"/>
        <v>1</v>
      </c>
    </row>
    <row r="68" spans="1:8" ht="12" customHeight="1" thickBot="1">
      <c r="A68" s="142"/>
      <c r="B68" s="178"/>
      <c r="C68" s="666"/>
      <c r="D68" s="666"/>
      <c r="E68" s="666"/>
      <c r="F68" s="666"/>
      <c r="G68" s="666"/>
      <c r="H68" s="1246"/>
    </row>
    <row r="69" spans="1:8" ht="18.75" customHeight="1" thickBot="1">
      <c r="A69" s="142"/>
      <c r="B69" s="234" t="s">
        <v>72</v>
      </c>
      <c r="C69" s="667">
        <f>SUM(C64+C38+C19+C67)</f>
        <v>12539477</v>
      </c>
      <c r="D69" s="667">
        <f>SUM(D64+D38+D19+D67)</f>
        <v>12641200</v>
      </c>
      <c r="E69" s="667">
        <f>SUM(E64+E38+E19+E67)</f>
        <v>12836708</v>
      </c>
      <c r="F69" s="667">
        <f>SUM(F64+F38+F19+F67)</f>
        <v>12840002</v>
      </c>
      <c r="G69" s="667">
        <f>SUM(G64+G38+G19+G67)</f>
        <v>12826786</v>
      </c>
      <c r="H69" s="849">
        <f t="shared" si="0"/>
        <v>0.9989707166712279</v>
      </c>
    </row>
    <row r="70" spans="1:8" ht="12" customHeight="1">
      <c r="A70" s="125"/>
      <c r="B70" s="213"/>
      <c r="C70" s="659"/>
      <c r="D70" s="659"/>
      <c r="E70" s="659"/>
      <c r="F70" s="659"/>
      <c r="G70" s="659"/>
      <c r="H70" s="838"/>
    </row>
    <row r="71" spans="1:8" ht="12" customHeight="1">
      <c r="A71" s="117">
        <v>1165</v>
      </c>
      <c r="B71" s="127" t="s">
        <v>242</v>
      </c>
      <c r="C71" s="660">
        <v>50000</v>
      </c>
      <c r="D71" s="660">
        <v>50000</v>
      </c>
      <c r="E71" s="660">
        <v>52680</v>
      </c>
      <c r="F71" s="660">
        <v>52680</v>
      </c>
      <c r="G71" s="660">
        <v>52680</v>
      </c>
      <c r="H71" s="288">
        <f t="shared" si="0"/>
        <v>1</v>
      </c>
    </row>
    <row r="72" spans="1:8" ht="12" customHeight="1">
      <c r="A72" s="117">
        <v>1170</v>
      </c>
      <c r="B72" s="116" t="s">
        <v>243</v>
      </c>
      <c r="C72" s="660">
        <f>SUM(C73)</f>
        <v>209034</v>
      </c>
      <c r="D72" s="660">
        <f>SUM(D73)</f>
        <v>209034</v>
      </c>
      <c r="E72" s="660">
        <f>SUM(E73)</f>
        <v>209034</v>
      </c>
      <c r="F72" s="660">
        <f>SUM(F73)</f>
        <v>209034</v>
      </c>
      <c r="G72" s="660">
        <f>SUM(G73)</f>
        <v>209034</v>
      </c>
      <c r="H72" s="288">
        <f t="shared" si="0"/>
        <v>1</v>
      </c>
    </row>
    <row r="73" spans="1:8" ht="12" customHeight="1">
      <c r="A73" s="124">
        <v>1175</v>
      </c>
      <c r="B73" s="729" t="s">
        <v>430</v>
      </c>
      <c r="C73" s="661">
        <v>209034</v>
      </c>
      <c r="D73" s="661">
        <v>209034</v>
      </c>
      <c r="E73" s="661">
        <v>209034</v>
      </c>
      <c r="F73" s="661">
        <v>209034</v>
      </c>
      <c r="G73" s="661">
        <v>209034</v>
      </c>
      <c r="H73" s="837">
        <f t="shared" si="0"/>
        <v>1</v>
      </c>
    </row>
    <row r="74" spans="1:8" ht="12" customHeight="1">
      <c r="A74" s="117">
        <v>1180</v>
      </c>
      <c r="B74" s="133" t="s">
        <v>425</v>
      </c>
      <c r="C74" s="660">
        <f>SUM(C75:C76)</f>
        <v>250000</v>
      </c>
      <c r="D74" s="660">
        <f>SUM(D75:D76)</f>
        <v>250000</v>
      </c>
      <c r="E74" s="660">
        <f>SUM(E75:E76)</f>
        <v>250000</v>
      </c>
      <c r="F74" s="660">
        <f>SUM(F75:F76)</f>
        <v>250000</v>
      </c>
      <c r="G74" s="660">
        <f>SUM(G75:G76)</f>
        <v>0</v>
      </c>
      <c r="H74" s="288">
        <f t="shared" si="0"/>
        <v>0</v>
      </c>
    </row>
    <row r="75" spans="1:8" ht="12" customHeight="1">
      <c r="A75" s="124">
        <v>1181</v>
      </c>
      <c r="B75" s="122" t="s">
        <v>296</v>
      </c>
      <c r="C75" s="661"/>
      <c r="D75" s="661"/>
      <c r="E75" s="661"/>
      <c r="F75" s="661"/>
      <c r="G75" s="661"/>
      <c r="H75" s="288"/>
    </row>
    <row r="76" spans="1:8" ht="12" customHeight="1">
      <c r="A76" s="124">
        <v>1182</v>
      </c>
      <c r="B76" s="122" t="s">
        <v>525</v>
      </c>
      <c r="C76" s="661">
        <v>250000</v>
      </c>
      <c r="D76" s="661">
        <v>250000</v>
      </c>
      <c r="E76" s="661">
        <v>250000</v>
      </c>
      <c r="F76" s="661">
        <v>250000</v>
      </c>
      <c r="G76" s="1211"/>
      <c r="H76" s="288">
        <f aca="true" t="shared" si="1" ref="H76:H138">SUM(G76/F76)</f>
        <v>0</v>
      </c>
    </row>
    <row r="77" spans="1:8" ht="12" customHeight="1" thickBot="1">
      <c r="A77" s="141">
        <v>1185</v>
      </c>
      <c r="B77" s="289" t="s">
        <v>494</v>
      </c>
      <c r="C77" s="668">
        <v>280000</v>
      </c>
      <c r="D77" s="668">
        <v>283729</v>
      </c>
      <c r="E77" s="668">
        <v>283729</v>
      </c>
      <c r="F77" s="668">
        <v>283729</v>
      </c>
      <c r="G77" s="668">
        <v>283729</v>
      </c>
      <c r="H77" s="839">
        <f t="shared" si="1"/>
        <v>1</v>
      </c>
    </row>
    <row r="78" spans="1:8" ht="15" customHeight="1" thickBot="1">
      <c r="A78" s="132"/>
      <c r="B78" s="178" t="s">
        <v>467</v>
      </c>
      <c r="C78" s="668">
        <f>SUM(C72+C74+C71+C77)</f>
        <v>789034</v>
      </c>
      <c r="D78" s="668">
        <f>SUM(D72+D74+D71+D77)</f>
        <v>792763</v>
      </c>
      <c r="E78" s="668">
        <f>SUM(E72+E74+E71+E77)</f>
        <v>795443</v>
      </c>
      <c r="F78" s="668">
        <f>SUM(F72+F74+F71+F77)</f>
        <v>795443</v>
      </c>
      <c r="G78" s="668">
        <f>SUM(G72+G74+G71+G77)</f>
        <v>545443</v>
      </c>
      <c r="H78" s="1246">
        <f t="shared" si="1"/>
        <v>0.6857097240154229</v>
      </c>
    </row>
    <row r="79" spans="1:8" ht="12" customHeight="1">
      <c r="A79" s="119"/>
      <c r="B79" s="126"/>
      <c r="C79" s="659"/>
      <c r="D79" s="659"/>
      <c r="E79" s="659"/>
      <c r="F79" s="659"/>
      <c r="G79" s="659"/>
      <c r="H79" s="838"/>
    </row>
    <row r="80" spans="1:8" ht="12" customHeight="1">
      <c r="A80" s="117">
        <v>1190</v>
      </c>
      <c r="B80" s="120" t="s">
        <v>246</v>
      </c>
      <c r="C80" s="660">
        <f>SUM(C81+C82+C83)</f>
        <v>2444000</v>
      </c>
      <c r="D80" s="660">
        <f>SUM(D81+D82+D83)</f>
        <v>2444000</v>
      </c>
      <c r="E80" s="660">
        <f>SUM(E81+E82+E83)</f>
        <v>2444000</v>
      </c>
      <c r="F80" s="660">
        <f>SUM(F81+F82+F83)</f>
        <v>1135000</v>
      </c>
      <c r="G80" s="660">
        <f>SUM(G81+G82+G83)</f>
        <v>986958</v>
      </c>
      <c r="H80" s="288">
        <f t="shared" si="1"/>
        <v>0.8695665198237885</v>
      </c>
    </row>
    <row r="81" spans="1:8" ht="12" customHeight="1">
      <c r="A81" s="124">
        <v>1191</v>
      </c>
      <c r="B81" s="114" t="s">
        <v>1116</v>
      </c>
      <c r="C81" s="661">
        <v>1844000</v>
      </c>
      <c r="D81" s="661">
        <v>1844000</v>
      </c>
      <c r="E81" s="661">
        <v>1844000</v>
      </c>
      <c r="F81" s="661">
        <v>535000</v>
      </c>
      <c r="G81" s="661">
        <v>459000</v>
      </c>
      <c r="H81" s="837">
        <f t="shared" si="1"/>
        <v>0.8579439252336448</v>
      </c>
    </row>
    <row r="82" spans="1:8" ht="12" customHeight="1">
      <c r="A82" s="124">
        <v>1194</v>
      </c>
      <c r="B82" s="114" t="s">
        <v>193</v>
      </c>
      <c r="C82" s="661">
        <v>200000</v>
      </c>
      <c r="D82" s="661">
        <v>200000</v>
      </c>
      <c r="E82" s="661">
        <v>200000</v>
      </c>
      <c r="F82" s="661">
        <v>200000</v>
      </c>
      <c r="G82" s="661">
        <v>200000</v>
      </c>
      <c r="H82" s="837">
        <f t="shared" si="1"/>
        <v>1</v>
      </c>
    </row>
    <row r="83" spans="1:8" ht="12" customHeight="1" thickBot="1">
      <c r="A83" s="124">
        <v>1195</v>
      </c>
      <c r="B83" s="114" t="s">
        <v>301</v>
      </c>
      <c r="C83" s="664">
        <v>400000</v>
      </c>
      <c r="D83" s="664">
        <v>400000</v>
      </c>
      <c r="E83" s="664">
        <v>400000</v>
      </c>
      <c r="F83" s="664">
        <v>400000</v>
      </c>
      <c r="G83" s="664">
        <v>327958</v>
      </c>
      <c r="H83" s="848">
        <f t="shared" si="1"/>
        <v>0.819895</v>
      </c>
    </row>
    <row r="84" spans="1:8" ht="15.75" customHeight="1" thickBot="1">
      <c r="A84" s="132"/>
      <c r="B84" s="241" t="s">
        <v>247</v>
      </c>
      <c r="C84" s="665">
        <f>SUM(C80)</f>
        <v>2444000</v>
      </c>
      <c r="D84" s="665">
        <f>SUM(D80)</f>
        <v>2444000</v>
      </c>
      <c r="E84" s="665">
        <f>SUM(E80)</f>
        <v>2444000</v>
      </c>
      <c r="F84" s="665">
        <f>SUM(F80)</f>
        <v>1135000</v>
      </c>
      <c r="G84" s="665">
        <f>SUM(G80)</f>
        <v>986958</v>
      </c>
      <c r="H84" s="1246">
        <f t="shared" si="1"/>
        <v>0.8695665198237885</v>
      </c>
    </row>
    <row r="85" spans="1:8" ht="12" customHeight="1">
      <c r="A85" s="117">
        <v>1200</v>
      </c>
      <c r="B85" s="127" t="s">
        <v>495</v>
      </c>
      <c r="C85" s="660">
        <f>SUM(C86:C87)</f>
        <v>15000</v>
      </c>
      <c r="D85" s="660">
        <f>SUM(D86:D87)</f>
        <v>15000</v>
      </c>
      <c r="E85" s="660">
        <f>SUM(E86:E87)</f>
        <v>15000</v>
      </c>
      <c r="F85" s="660">
        <f>SUM(F86:F87)</f>
        <v>15000</v>
      </c>
      <c r="G85" s="660">
        <f>SUM(G86:G87)</f>
        <v>15000</v>
      </c>
      <c r="H85" s="838">
        <f t="shared" si="1"/>
        <v>1</v>
      </c>
    </row>
    <row r="86" spans="1:8" ht="12" customHeight="1">
      <c r="A86" s="124">
        <v>1201</v>
      </c>
      <c r="B86" s="114" t="s">
        <v>338</v>
      </c>
      <c r="C86" s="661"/>
      <c r="D86" s="661"/>
      <c r="E86" s="661"/>
      <c r="F86" s="661"/>
      <c r="G86" s="661"/>
      <c r="H86" s="288"/>
    </row>
    <row r="87" spans="1:8" ht="12" customHeight="1">
      <c r="A87" s="124">
        <v>1202</v>
      </c>
      <c r="B87" s="114" t="s">
        <v>339</v>
      </c>
      <c r="C87" s="661">
        <v>15000</v>
      </c>
      <c r="D87" s="661">
        <v>15000</v>
      </c>
      <c r="E87" s="661">
        <v>15000</v>
      </c>
      <c r="F87" s="661">
        <v>15000</v>
      </c>
      <c r="G87" s="661">
        <v>15000</v>
      </c>
      <c r="H87" s="837">
        <f t="shared" si="1"/>
        <v>1</v>
      </c>
    </row>
    <row r="88" spans="1:8" ht="12" customHeight="1">
      <c r="A88" s="117">
        <v>1210</v>
      </c>
      <c r="B88" s="127" t="s">
        <v>254</v>
      </c>
      <c r="C88" s="660">
        <v>235000</v>
      </c>
      <c r="D88" s="660">
        <v>235000</v>
      </c>
      <c r="E88" s="660">
        <v>235000</v>
      </c>
      <c r="F88" s="660">
        <v>235000</v>
      </c>
      <c r="G88" s="660">
        <v>235000</v>
      </c>
      <c r="H88" s="288">
        <f t="shared" si="1"/>
        <v>1</v>
      </c>
    </row>
    <row r="89" spans="1:8" ht="12" customHeight="1" thickBot="1">
      <c r="A89" s="781">
        <v>1211</v>
      </c>
      <c r="B89" s="569" t="s">
        <v>394</v>
      </c>
      <c r="C89" s="660"/>
      <c r="D89" s="660"/>
      <c r="E89" s="660"/>
      <c r="F89" s="660"/>
      <c r="G89" s="660">
        <v>99520</v>
      </c>
      <c r="H89" s="839"/>
    </row>
    <row r="90" spans="1:8" ht="15.75" customHeight="1" thickBot="1">
      <c r="A90" s="132"/>
      <c r="B90" s="178" t="s">
        <v>255</v>
      </c>
      <c r="C90" s="665">
        <f>SUM(C85+C88+C89)</f>
        <v>250000</v>
      </c>
      <c r="D90" s="665">
        <f>SUM(D85+D88+D89)</f>
        <v>250000</v>
      </c>
      <c r="E90" s="665">
        <f>SUM(E85+E88+E89)</f>
        <v>250000</v>
      </c>
      <c r="F90" s="665">
        <f>SUM(F85+F88+F89)</f>
        <v>250000</v>
      </c>
      <c r="G90" s="665">
        <f>SUM(G85+G88+G89)</f>
        <v>349520</v>
      </c>
      <c r="H90" s="1246">
        <f t="shared" si="1"/>
        <v>1.39808</v>
      </c>
    </row>
    <row r="91" spans="1:8" ht="12" customHeight="1" thickBot="1">
      <c r="A91" s="132"/>
      <c r="B91" s="131"/>
      <c r="C91" s="666"/>
      <c r="D91" s="666"/>
      <c r="E91" s="666"/>
      <c r="F91" s="666"/>
      <c r="G91" s="666"/>
      <c r="H91" s="838"/>
    </row>
    <row r="92" spans="1:8" ht="24" customHeight="1" thickBot="1">
      <c r="A92" s="132"/>
      <c r="B92" s="237" t="s">
        <v>73</v>
      </c>
      <c r="C92" s="669">
        <f>SUM(C78+C84+C90)</f>
        <v>3483034</v>
      </c>
      <c r="D92" s="669">
        <f>SUM(D78+D84+D90)</f>
        <v>3486763</v>
      </c>
      <c r="E92" s="669">
        <f>SUM(E78+E84+E90)</f>
        <v>3489443</v>
      </c>
      <c r="F92" s="669">
        <f>SUM(F78+F84+F90)</f>
        <v>2180443</v>
      </c>
      <c r="G92" s="669">
        <f>SUM(G78+G84+G90)</f>
        <v>1881921</v>
      </c>
      <c r="H92" s="839">
        <f t="shared" si="1"/>
        <v>0.8630911241431214</v>
      </c>
    </row>
    <row r="93" spans="1:8" ht="12.75" customHeight="1">
      <c r="A93" s="139"/>
      <c r="B93" s="235"/>
      <c r="C93" s="659"/>
      <c r="D93" s="659"/>
      <c r="E93" s="659"/>
      <c r="F93" s="659"/>
      <c r="G93" s="659"/>
      <c r="H93" s="838"/>
    </row>
    <row r="94" spans="1:8" ht="12" customHeight="1">
      <c r="A94" s="124">
        <v>1215</v>
      </c>
      <c r="B94" s="122" t="s">
        <v>470</v>
      </c>
      <c r="C94" s="661">
        <v>108360</v>
      </c>
      <c r="D94" s="661">
        <v>3278080</v>
      </c>
      <c r="E94" s="661">
        <v>3278080</v>
      </c>
      <c r="F94" s="661">
        <v>3278080</v>
      </c>
      <c r="G94" s="661">
        <v>3278080</v>
      </c>
      <c r="H94" s="837">
        <f t="shared" si="1"/>
        <v>1</v>
      </c>
    </row>
    <row r="95" spans="1:8" ht="12" customHeight="1">
      <c r="A95" s="124">
        <v>1216</v>
      </c>
      <c r="B95" s="122" t="s">
        <v>452</v>
      </c>
      <c r="C95" s="661">
        <v>2000000</v>
      </c>
      <c r="D95" s="661">
        <v>2000000</v>
      </c>
      <c r="E95" s="661">
        <v>2000000</v>
      </c>
      <c r="F95" s="661">
        <v>2000000</v>
      </c>
      <c r="G95" s="661">
        <v>2000000</v>
      </c>
      <c r="H95" s="837">
        <f t="shared" si="1"/>
        <v>1</v>
      </c>
    </row>
    <row r="96" spans="1:8" ht="12" customHeight="1" thickBot="1">
      <c r="A96" s="140">
        <v>1217</v>
      </c>
      <c r="B96" s="147" t="s">
        <v>489</v>
      </c>
      <c r="C96" s="662"/>
      <c r="D96" s="662"/>
      <c r="E96" s="662"/>
      <c r="F96" s="662"/>
      <c r="G96" s="1210">
        <v>42784</v>
      </c>
      <c r="H96" s="839"/>
    </row>
    <row r="97" spans="1:8" ht="21.75" customHeight="1" thickBot="1">
      <c r="A97" s="132"/>
      <c r="B97" s="231" t="s">
        <v>49</v>
      </c>
      <c r="C97" s="665">
        <f>SUM(C94:C95)</f>
        <v>2108360</v>
      </c>
      <c r="D97" s="665">
        <f>SUM(D94:D95)</f>
        <v>5278080</v>
      </c>
      <c r="E97" s="665">
        <f>SUM(E94:E95)</f>
        <v>5278080</v>
      </c>
      <c r="F97" s="665">
        <f>SUM(F94:F95)</f>
        <v>5278080</v>
      </c>
      <c r="G97" s="665">
        <f>SUM(G94:G96)</f>
        <v>5320864</v>
      </c>
      <c r="H97" s="1246">
        <f t="shared" si="1"/>
        <v>1.008105977931369</v>
      </c>
    </row>
    <row r="98" spans="1:8" ht="12" customHeight="1">
      <c r="A98" s="139"/>
      <c r="B98" s="187"/>
      <c r="C98" s="659"/>
      <c r="D98" s="659"/>
      <c r="E98" s="659"/>
      <c r="F98" s="659"/>
      <c r="G98" s="659"/>
      <c r="H98" s="838"/>
    </row>
    <row r="99" spans="1:8" ht="12" customHeight="1" thickBot="1">
      <c r="A99" s="124">
        <v>1221</v>
      </c>
      <c r="B99" s="130" t="s">
        <v>470</v>
      </c>
      <c r="C99" s="664">
        <v>2130468</v>
      </c>
      <c r="D99" s="664">
        <v>2679008</v>
      </c>
      <c r="E99" s="664">
        <v>2679008</v>
      </c>
      <c r="F99" s="664">
        <v>2679008</v>
      </c>
      <c r="G99" s="664">
        <v>2679008</v>
      </c>
      <c r="H99" s="839">
        <f t="shared" si="1"/>
        <v>1</v>
      </c>
    </row>
    <row r="100" spans="1:8" ht="18" customHeight="1" thickBot="1">
      <c r="A100" s="132"/>
      <c r="B100" s="177" t="s">
        <v>256</v>
      </c>
      <c r="C100" s="668">
        <f>SUM(C99:C99)</f>
        <v>2130468</v>
      </c>
      <c r="D100" s="668">
        <f>SUM(D99:D99)</f>
        <v>2679008</v>
      </c>
      <c r="E100" s="668">
        <f>SUM(E99:E99)</f>
        <v>2679008</v>
      </c>
      <c r="F100" s="668">
        <f>SUM(F99:F99)</f>
        <v>2679008</v>
      </c>
      <c r="G100" s="668">
        <f>SUM(G99:G99)</f>
        <v>2679008</v>
      </c>
      <c r="H100" s="1246">
        <f t="shared" si="1"/>
        <v>1</v>
      </c>
    </row>
    <row r="101" spans="1:8" ht="12" customHeight="1" thickBot="1">
      <c r="A101" s="132"/>
      <c r="B101" s="150"/>
      <c r="C101" s="666"/>
      <c r="D101" s="666"/>
      <c r="E101" s="666"/>
      <c r="F101" s="666"/>
      <c r="G101" s="666"/>
      <c r="H101" s="1246"/>
    </row>
    <row r="102" spans="1:8" ht="16.5" customHeight="1" thickBot="1">
      <c r="A102" s="132"/>
      <c r="B102" s="236" t="s">
        <v>362</v>
      </c>
      <c r="C102" s="669">
        <f>SUM(C100+C92+C69+C97)</f>
        <v>20261339</v>
      </c>
      <c r="D102" s="669">
        <f>SUM(D100+D92+D69+D97)</f>
        <v>24085051</v>
      </c>
      <c r="E102" s="669">
        <f>SUM(E100+E92+E69+E97)</f>
        <v>24283239</v>
      </c>
      <c r="F102" s="669">
        <f>SUM(F100+F92+F69+F97)</f>
        <v>22977533</v>
      </c>
      <c r="G102" s="669">
        <f>SUM(G100+G92+G69+G97)</f>
        <v>22708579</v>
      </c>
      <c r="H102" s="1246">
        <f t="shared" si="1"/>
        <v>0.988294913992725</v>
      </c>
    </row>
    <row r="103" spans="1:8" ht="12" customHeight="1">
      <c r="A103" s="139"/>
      <c r="B103" s="150"/>
      <c r="C103" s="670"/>
      <c r="D103" s="670"/>
      <c r="E103" s="670"/>
      <c r="F103" s="670"/>
      <c r="G103" s="670"/>
      <c r="H103" s="838"/>
    </row>
    <row r="104" spans="1:8" ht="15.75" customHeight="1">
      <c r="A104" s="117"/>
      <c r="B104" s="240" t="s">
        <v>320</v>
      </c>
      <c r="C104" s="671"/>
      <c r="D104" s="671"/>
      <c r="E104" s="671"/>
      <c r="F104" s="671"/>
      <c r="G104" s="671"/>
      <c r="H104" s="288"/>
    </row>
    <row r="105" spans="1:8" ht="12" customHeight="1">
      <c r="A105" s="117"/>
      <c r="B105" s="238"/>
      <c r="C105" s="672"/>
      <c r="D105" s="672"/>
      <c r="E105" s="672"/>
      <c r="F105" s="672"/>
      <c r="G105" s="672"/>
      <c r="H105" s="288"/>
    </row>
    <row r="106" spans="1:8" ht="12" customHeight="1">
      <c r="A106" s="124">
        <v>1230</v>
      </c>
      <c r="B106" s="122" t="s">
        <v>221</v>
      </c>
      <c r="C106" s="671"/>
      <c r="D106" s="671"/>
      <c r="E106" s="671"/>
      <c r="F106" s="671"/>
      <c r="G106" s="671"/>
      <c r="H106" s="288"/>
    </row>
    <row r="107" spans="1:8" ht="12" customHeight="1" thickBot="1">
      <c r="A107" s="129">
        <v>1231</v>
      </c>
      <c r="B107" s="130" t="s">
        <v>460</v>
      </c>
      <c r="C107" s="657">
        <v>11672</v>
      </c>
      <c r="D107" s="657">
        <v>14127</v>
      </c>
      <c r="E107" s="657">
        <v>14127</v>
      </c>
      <c r="F107" s="657">
        <v>14127</v>
      </c>
      <c r="G107" s="657">
        <v>14127</v>
      </c>
      <c r="H107" s="848">
        <f t="shared" si="1"/>
        <v>1</v>
      </c>
    </row>
    <row r="108" spans="1:8" ht="12" customHeight="1" thickBot="1">
      <c r="A108" s="132"/>
      <c r="B108" s="131" t="s">
        <v>468</v>
      </c>
      <c r="C108" s="658">
        <f>SUM(C107)</f>
        <v>11672</v>
      </c>
      <c r="D108" s="658">
        <f>SUM(D107)</f>
        <v>14127</v>
      </c>
      <c r="E108" s="658">
        <f>SUM(E107)</f>
        <v>14127</v>
      </c>
      <c r="F108" s="658">
        <f>SUM(F107)</f>
        <v>14127</v>
      </c>
      <c r="G108" s="658">
        <f>SUM(G107)</f>
        <v>14127</v>
      </c>
      <c r="H108" s="1246">
        <f t="shared" si="1"/>
        <v>1</v>
      </c>
    </row>
    <row r="109" spans="1:8" ht="12" customHeight="1">
      <c r="A109" s="119">
        <v>1240</v>
      </c>
      <c r="B109" s="232" t="s">
        <v>232</v>
      </c>
      <c r="C109" s="673">
        <f>C110+C111</f>
        <v>8150</v>
      </c>
      <c r="D109" s="673">
        <f>D110+D111</f>
        <v>8150</v>
      </c>
      <c r="E109" s="673">
        <f>E110+E111</f>
        <v>8150</v>
      </c>
      <c r="F109" s="673">
        <f>F110+F111</f>
        <v>8150</v>
      </c>
      <c r="G109" s="673">
        <f>G110+G111</f>
        <v>7862</v>
      </c>
      <c r="H109" s="838">
        <f t="shared" si="1"/>
        <v>0.9646625766871165</v>
      </c>
    </row>
    <row r="110" spans="1:8" ht="12" customHeight="1">
      <c r="A110" s="124">
        <v>1241</v>
      </c>
      <c r="B110" s="122" t="s">
        <v>100</v>
      </c>
      <c r="C110" s="655">
        <v>8000</v>
      </c>
      <c r="D110" s="655">
        <v>8000</v>
      </c>
      <c r="E110" s="655">
        <v>8000</v>
      </c>
      <c r="F110" s="655">
        <v>8000</v>
      </c>
      <c r="G110" s="1209">
        <v>7852</v>
      </c>
      <c r="H110" s="837">
        <f t="shared" si="1"/>
        <v>0.9815</v>
      </c>
    </row>
    <row r="111" spans="1:8" ht="12" customHeight="1">
      <c r="A111" s="124">
        <v>1242</v>
      </c>
      <c r="B111" s="122" t="s">
        <v>101</v>
      </c>
      <c r="C111" s="655">
        <v>150</v>
      </c>
      <c r="D111" s="655">
        <v>150</v>
      </c>
      <c r="E111" s="655">
        <v>150</v>
      </c>
      <c r="F111" s="655">
        <v>150</v>
      </c>
      <c r="G111" s="1209">
        <v>10</v>
      </c>
      <c r="H111" s="837">
        <f t="shared" si="1"/>
        <v>0.06666666666666667</v>
      </c>
    </row>
    <row r="112" spans="1:8" ht="12" customHeight="1">
      <c r="A112" s="124">
        <v>1250</v>
      </c>
      <c r="B112" s="194" t="s">
        <v>233</v>
      </c>
      <c r="C112" s="655">
        <v>15000</v>
      </c>
      <c r="D112" s="655">
        <v>15000</v>
      </c>
      <c r="E112" s="655">
        <v>15000</v>
      </c>
      <c r="F112" s="655">
        <v>15000</v>
      </c>
      <c r="G112" s="655">
        <v>13457</v>
      </c>
      <c r="H112" s="837">
        <f t="shared" si="1"/>
        <v>0.8971333333333333</v>
      </c>
    </row>
    <row r="113" spans="1:8" ht="12" customHeight="1">
      <c r="A113" s="124">
        <v>1255</v>
      </c>
      <c r="B113" s="122" t="s">
        <v>236</v>
      </c>
      <c r="C113" s="655"/>
      <c r="D113" s="655"/>
      <c r="E113" s="655"/>
      <c r="F113" s="655"/>
      <c r="G113" s="655"/>
      <c r="H113" s="288"/>
    </row>
    <row r="114" spans="1:8" ht="12" customHeight="1">
      <c r="A114" s="124">
        <v>1260</v>
      </c>
      <c r="B114" s="122" t="s">
        <v>237</v>
      </c>
      <c r="C114" s="655">
        <v>6250</v>
      </c>
      <c r="D114" s="655">
        <v>6250</v>
      </c>
      <c r="E114" s="655">
        <v>6250</v>
      </c>
      <c r="F114" s="655">
        <v>6250</v>
      </c>
      <c r="G114" s="1209">
        <v>4645</v>
      </c>
      <c r="H114" s="837">
        <f t="shared" si="1"/>
        <v>0.7432</v>
      </c>
    </row>
    <row r="115" spans="1:8" ht="12" customHeight="1">
      <c r="A115" s="124">
        <v>1261</v>
      </c>
      <c r="B115" s="126" t="s">
        <v>238</v>
      </c>
      <c r="C115" s="655"/>
      <c r="D115" s="655"/>
      <c r="E115" s="655"/>
      <c r="F115" s="655"/>
      <c r="G115" s="655"/>
      <c r="H115" s="837"/>
    </row>
    <row r="116" spans="1:8" ht="12" customHeight="1">
      <c r="A116" s="124">
        <v>1262</v>
      </c>
      <c r="B116" s="121" t="s">
        <v>488</v>
      </c>
      <c r="C116" s="655">
        <v>5</v>
      </c>
      <c r="D116" s="655">
        <v>5</v>
      </c>
      <c r="E116" s="655">
        <v>5</v>
      </c>
      <c r="F116" s="655">
        <v>5</v>
      </c>
      <c r="G116" s="655">
        <v>5</v>
      </c>
      <c r="H116" s="837">
        <f t="shared" si="1"/>
        <v>1</v>
      </c>
    </row>
    <row r="117" spans="1:8" ht="12" customHeight="1" thickBot="1">
      <c r="A117" s="129">
        <v>1270</v>
      </c>
      <c r="B117" s="130" t="s">
        <v>239</v>
      </c>
      <c r="C117" s="657">
        <v>1000</v>
      </c>
      <c r="D117" s="657">
        <v>1000</v>
      </c>
      <c r="E117" s="657">
        <v>1000</v>
      </c>
      <c r="F117" s="657">
        <v>1000</v>
      </c>
      <c r="G117" s="657">
        <v>1000</v>
      </c>
      <c r="H117" s="848">
        <f t="shared" si="1"/>
        <v>1</v>
      </c>
    </row>
    <row r="118" spans="1:8" ht="16.5" customHeight="1" thickBot="1">
      <c r="A118" s="141"/>
      <c r="B118" s="178" t="s">
        <v>366</v>
      </c>
      <c r="C118" s="674">
        <f>SUM(C109+C112+C114+C116+C113+C117)</f>
        <v>30405</v>
      </c>
      <c r="D118" s="674">
        <f>SUM(D109+D112+D114+D116+D113+D117)</f>
        <v>30405</v>
      </c>
      <c r="E118" s="674">
        <f>SUM(E109+E112+E114+E116+E113+E117)</f>
        <v>30405</v>
      </c>
      <c r="F118" s="674">
        <f>SUM(F109+F112+F114+F116+F113+F117)</f>
        <v>30405</v>
      </c>
      <c r="G118" s="674">
        <f>SUM(G109+G112+G114+G116+G113+G117)</f>
        <v>26969</v>
      </c>
      <c r="H118" s="1246">
        <f t="shared" si="1"/>
        <v>0.8869922710080579</v>
      </c>
    </row>
    <row r="119" spans="1:8" ht="12" customHeight="1">
      <c r="A119" s="139"/>
      <c r="B119" s="120"/>
      <c r="C119" s="670"/>
      <c r="D119" s="670"/>
      <c r="E119" s="670"/>
      <c r="F119" s="670"/>
      <c r="G119" s="670"/>
      <c r="H119" s="838"/>
    </row>
    <row r="120" spans="1:8" ht="12" customHeight="1" thickBot="1">
      <c r="A120" s="140">
        <v>1280</v>
      </c>
      <c r="B120" s="147" t="s">
        <v>240</v>
      </c>
      <c r="C120" s="675"/>
      <c r="D120" s="675"/>
      <c r="E120" s="675"/>
      <c r="F120" s="675"/>
      <c r="G120" s="675"/>
      <c r="H120" s="839"/>
    </row>
    <row r="121" spans="1:8" ht="15.75" customHeight="1" thickBot="1">
      <c r="A121" s="132"/>
      <c r="B121" s="231" t="s">
        <v>241</v>
      </c>
      <c r="C121" s="676"/>
      <c r="D121" s="676"/>
      <c r="E121" s="676"/>
      <c r="F121" s="676"/>
      <c r="G121" s="676"/>
      <c r="H121" s="1246"/>
    </row>
    <row r="122" spans="1:8" ht="15.75" customHeight="1" thickBot="1">
      <c r="A122" s="132"/>
      <c r="B122" s="213"/>
      <c r="C122" s="676"/>
      <c r="D122" s="676"/>
      <c r="E122" s="676"/>
      <c r="F122" s="676"/>
      <c r="G122" s="676"/>
      <c r="H122" s="1246"/>
    </row>
    <row r="123" spans="1:8" ht="15.75" customHeight="1" thickBot="1">
      <c r="A123" s="132"/>
      <c r="B123" s="234" t="s">
        <v>72</v>
      </c>
      <c r="C123" s="677">
        <f>SUM(C118+C121+C108)</f>
        <v>42077</v>
      </c>
      <c r="D123" s="677">
        <f>SUM(D118+D121+D108)</f>
        <v>44532</v>
      </c>
      <c r="E123" s="677">
        <f>SUM(E118+E121+E108)</f>
        <v>44532</v>
      </c>
      <c r="F123" s="677">
        <f>SUM(F118+F121+F108)</f>
        <v>44532</v>
      </c>
      <c r="G123" s="677">
        <f>SUM(G118+G121+G108)</f>
        <v>41096</v>
      </c>
      <c r="H123" s="1246">
        <f t="shared" si="1"/>
        <v>0.9228420012575227</v>
      </c>
    </row>
    <row r="124" spans="1:8" ht="13.5" customHeight="1">
      <c r="A124" s="119"/>
      <c r="B124" s="213"/>
      <c r="C124" s="670"/>
      <c r="D124" s="670"/>
      <c r="E124" s="670"/>
      <c r="F124" s="670"/>
      <c r="G124" s="670"/>
      <c r="H124" s="838"/>
    </row>
    <row r="125" spans="1:8" ht="12" customHeight="1">
      <c r="A125" s="124">
        <v>1285</v>
      </c>
      <c r="B125" s="122" t="s">
        <v>242</v>
      </c>
      <c r="C125" s="671"/>
      <c r="D125" s="671"/>
      <c r="E125" s="671"/>
      <c r="F125" s="671"/>
      <c r="G125" s="671"/>
      <c r="H125" s="288"/>
    </row>
    <row r="126" spans="1:8" ht="12" customHeight="1" thickBot="1">
      <c r="A126" s="124">
        <v>1286</v>
      </c>
      <c r="B126" s="122" t="s">
        <v>494</v>
      </c>
      <c r="C126" s="678"/>
      <c r="D126" s="678"/>
      <c r="E126" s="678"/>
      <c r="F126" s="678"/>
      <c r="G126" s="678"/>
      <c r="H126" s="839"/>
    </row>
    <row r="127" spans="1:8" ht="16.5" customHeight="1" thickBot="1">
      <c r="A127" s="132"/>
      <c r="B127" s="178" t="s">
        <v>467</v>
      </c>
      <c r="C127" s="676"/>
      <c r="D127" s="676"/>
      <c r="E127" s="676"/>
      <c r="F127" s="676"/>
      <c r="G127" s="676"/>
      <c r="H127" s="1246"/>
    </row>
    <row r="128" spans="1:8" ht="12.75" customHeight="1">
      <c r="A128" s="139"/>
      <c r="B128" s="233"/>
      <c r="C128" s="670"/>
      <c r="D128" s="670"/>
      <c r="E128" s="670"/>
      <c r="F128" s="670"/>
      <c r="G128" s="670"/>
      <c r="H128" s="838"/>
    </row>
    <row r="129" spans="1:8" ht="12.75" customHeight="1" thickBot="1">
      <c r="A129" s="129">
        <v>1290</v>
      </c>
      <c r="B129" s="130" t="s">
        <v>257</v>
      </c>
      <c r="C129" s="657"/>
      <c r="D129" s="657"/>
      <c r="E129" s="657"/>
      <c r="F129" s="657"/>
      <c r="G129" s="657"/>
      <c r="H129" s="839"/>
    </row>
    <row r="130" spans="1:8" ht="16.5" customHeight="1" thickBot="1">
      <c r="A130" s="141"/>
      <c r="B130" s="231" t="s">
        <v>247</v>
      </c>
      <c r="C130" s="680"/>
      <c r="D130" s="680"/>
      <c r="E130" s="680"/>
      <c r="F130" s="680"/>
      <c r="G130" s="680"/>
      <c r="H130" s="1246"/>
    </row>
    <row r="131" spans="1:8" ht="9" customHeight="1">
      <c r="A131" s="139"/>
      <c r="B131" s="233"/>
      <c r="C131" s="679"/>
      <c r="D131" s="679"/>
      <c r="E131" s="679"/>
      <c r="F131" s="679"/>
      <c r="G131" s="679"/>
      <c r="H131" s="838"/>
    </row>
    <row r="132" spans="1:8" ht="12.75" customHeight="1">
      <c r="A132" s="117"/>
      <c r="B132" s="127" t="s">
        <v>469</v>
      </c>
      <c r="C132" s="671"/>
      <c r="D132" s="671"/>
      <c r="E132" s="671"/>
      <c r="F132" s="671"/>
      <c r="G132" s="671"/>
      <c r="H132" s="288"/>
    </row>
    <row r="133" spans="1:8" ht="13.5" customHeight="1" thickBot="1">
      <c r="A133" s="129">
        <v>1291</v>
      </c>
      <c r="B133" s="824" t="s">
        <v>70</v>
      </c>
      <c r="C133" s="657">
        <v>8000</v>
      </c>
      <c r="D133" s="657">
        <v>8000</v>
      </c>
      <c r="E133" s="657">
        <v>8000</v>
      </c>
      <c r="F133" s="657">
        <v>8000</v>
      </c>
      <c r="G133" s="1208">
        <v>7537</v>
      </c>
      <c r="H133" s="848">
        <f t="shared" si="1"/>
        <v>0.942125</v>
      </c>
    </row>
    <row r="134" spans="1:8" ht="16.5" customHeight="1" thickBot="1">
      <c r="A134" s="132"/>
      <c r="B134" s="178" t="s">
        <v>255</v>
      </c>
      <c r="C134" s="680">
        <f>SUM(C133)</f>
        <v>8000</v>
      </c>
      <c r="D134" s="680">
        <f>SUM(D133)</f>
        <v>8000</v>
      </c>
      <c r="E134" s="680">
        <f>SUM(E133)</f>
        <v>8000</v>
      </c>
      <c r="F134" s="680">
        <f>SUM(F133)</f>
        <v>8000</v>
      </c>
      <c r="G134" s="680">
        <f>SUM(G133)</f>
        <v>7537</v>
      </c>
      <c r="H134" s="1246">
        <f t="shared" si="1"/>
        <v>0.942125</v>
      </c>
    </row>
    <row r="135" spans="1:8" ht="12.75" customHeight="1">
      <c r="A135" s="139"/>
      <c r="B135" s="233"/>
      <c r="C135" s="681"/>
      <c r="D135" s="681"/>
      <c r="E135" s="681"/>
      <c r="F135" s="681"/>
      <c r="G135" s="681"/>
      <c r="H135" s="838"/>
    </row>
    <row r="136" spans="1:8" ht="12.75" customHeight="1">
      <c r="A136" s="124">
        <v>1292</v>
      </c>
      <c r="B136" s="122" t="s">
        <v>470</v>
      </c>
      <c r="C136" s="655"/>
      <c r="D136" s="655">
        <v>230755</v>
      </c>
      <c r="E136" s="655">
        <v>230755</v>
      </c>
      <c r="F136" s="655">
        <v>230755</v>
      </c>
      <c r="G136" s="655">
        <v>230755</v>
      </c>
      <c r="H136" s="837">
        <f t="shared" si="1"/>
        <v>1</v>
      </c>
    </row>
    <row r="137" spans="1:8" ht="12.75" customHeight="1" thickBot="1">
      <c r="A137" s="124">
        <v>1293</v>
      </c>
      <c r="B137" s="122" t="s">
        <v>507</v>
      </c>
      <c r="C137" s="794">
        <v>1901255</v>
      </c>
      <c r="D137" s="794">
        <v>1807817</v>
      </c>
      <c r="E137" s="794">
        <v>1813469</v>
      </c>
      <c r="F137" s="794">
        <v>1813667</v>
      </c>
      <c r="G137" s="794">
        <v>1813863</v>
      </c>
      <c r="H137" s="848">
        <f t="shared" si="1"/>
        <v>1.000108068349923</v>
      </c>
    </row>
    <row r="138" spans="1:8" ht="17.25" customHeight="1" thickBot="1">
      <c r="A138" s="132"/>
      <c r="B138" s="178" t="s">
        <v>49</v>
      </c>
      <c r="C138" s="680">
        <f>SUM(C136:C137)</f>
        <v>1901255</v>
      </c>
      <c r="D138" s="680">
        <f>SUM(D136:D137)</f>
        <v>2038572</v>
      </c>
      <c r="E138" s="680">
        <f>SUM(E136:E137)</f>
        <v>2044224</v>
      </c>
      <c r="F138" s="680">
        <f>SUM(F136:F137)</f>
        <v>2044422</v>
      </c>
      <c r="G138" s="680">
        <f>SUM(G136:G137)</f>
        <v>2044618</v>
      </c>
      <c r="H138" s="1246">
        <f t="shared" si="1"/>
        <v>1.00009587061771</v>
      </c>
    </row>
    <row r="139" spans="1:8" ht="12" customHeight="1">
      <c r="A139" s="139"/>
      <c r="B139" s="200"/>
      <c r="C139" s="681"/>
      <c r="D139" s="681"/>
      <c r="E139" s="681"/>
      <c r="F139" s="681"/>
      <c r="G139" s="681"/>
      <c r="H139" s="838"/>
    </row>
    <row r="140" spans="1:8" ht="12" customHeight="1" thickBot="1">
      <c r="A140" s="124">
        <v>1294</v>
      </c>
      <c r="B140" s="122" t="s">
        <v>471</v>
      </c>
      <c r="C140" s="794"/>
      <c r="D140" s="794">
        <v>50834</v>
      </c>
      <c r="E140" s="794">
        <v>50834</v>
      </c>
      <c r="F140" s="794">
        <v>50834</v>
      </c>
      <c r="G140" s="794">
        <v>50834</v>
      </c>
      <c r="H140" s="848">
        <f>SUM(G140/F140)</f>
        <v>1</v>
      </c>
    </row>
    <row r="141" spans="1:8" ht="17.25" customHeight="1" thickBot="1">
      <c r="A141" s="132"/>
      <c r="B141" s="241" t="s">
        <v>256</v>
      </c>
      <c r="C141" s="680"/>
      <c r="D141" s="680">
        <f>SUM(D140)</f>
        <v>50834</v>
      </c>
      <c r="E141" s="680">
        <f>SUM(E140)</f>
        <v>50834</v>
      </c>
      <c r="F141" s="680">
        <f>SUM(F140)</f>
        <v>50834</v>
      </c>
      <c r="G141" s="680">
        <f>SUM(G140)</f>
        <v>50834</v>
      </c>
      <c r="H141" s="1246">
        <f>SUM(G141/F141)</f>
        <v>1</v>
      </c>
    </row>
    <row r="142" spans="1:8" ht="12" customHeight="1" thickBot="1">
      <c r="A142" s="132"/>
      <c r="B142" s="123"/>
      <c r="C142" s="683"/>
      <c r="D142" s="683"/>
      <c r="E142" s="683"/>
      <c r="F142" s="683"/>
      <c r="G142" s="683"/>
      <c r="H142" s="1246"/>
    </row>
    <row r="143" spans="1:8" ht="18" customHeight="1" thickBot="1">
      <c r="A143" s="132"/>
      <c r="B143" s="236" t="s">
        <v>363</v>
      </c>
      <c r="C143" s="674">
        <f>SUM(C141+C138+C123+C130+C134)</f>
        <v>1951332</v>
      </c>
      <c r="D143" s="674">
        <f>SUM(D141+D138+D123+D130+D134)</f>
        <v>2141938</v>
      </c>
      <c r="E143" s="674">
        <f>SUM(E141+E138+E123+E130+E134)</f>
        <v>2147590</v>
      </c>
      <c r="F143" s="674">
        <f>SUM(F141+F138+F123+F130+F134)</f>
        <v>2147788</v>
      </c>
      <c r="G143" s="674">
        <f>SUM(G141+G138+G123+G130+G134)</f>
        <v>2144085</v>
      </c>
      <c r="H143" s="1246">
        <f>SUM(G143/F143)</f>
        <v>0.9982759006009904</v>
      </c>
    </row>
    <row r="144" spans="1:8" s="107" customFormat="1" ht="12">
      <c r="A144" s="137"/>
      <c r="B144" s="138"/>
      <c r="C144" s="684"/>
      <c r="D144" s="684"/>
      <c r="E144" s="684"/>
      <c r="F144" s="684"/>
      <c r="G144" s="684"/>
      <c r="H144" s="838"/>
    </row>
    <row r="145" spans="1:9" s="107" customFormat="1" ht="15">
      <c r="A145" s="125"/>
      <c r="B145" s="217" t="s">
        <v>328</v>
      </c>
      <c r="C145" s="685"/>
      <c r="D145" s="685"/>
      <c r="E145" s="685"/>
      <c r="F145" s="685"/>
      <c r="G145" s="685"/>
      <c r="H145" s="288"/>
      <c r="I145" s="301"/>
    </row>
    <row r="146" spans="1:8" s="107" customFormat="1" ht="15">
      <c r="A146" s="125"/>
      <c r="B146" s="217"/>
      <c r="C146" s="685"/>
      <c r="D146" s="685"/>
      <c r="E146" s="685"/>
      <c r="F146" s="685"/>
      <c r="G146" s="685"/>
      <c r="H146" s="288"/>
    </row>
    <row r="147" spans="1:8" s="107" customFormat="1" ht="12">
      <c r="A147" s="124">
        <v>1301</v>
      </c>
      <c r="B147" s="122" t="s">
        <v>221</v>
      </c>
      <c r="C147" s="686"/>
      <c r="D147" s="686"/>
      <c r="E147" s="686"/>
      <c r="F147" s="686"/>
      <c r="G147" s="686"/>
      <c r="H147" s="288"/>
    </row>
    <row r="148" spans="1:8" s="107" customFormat="1" ht="12.75" thickBot="1">
      <c r="A148" s="129">
        <v>1302</v>
      </c>
      <c r="B148" s="130" t="s">
        <v>460</v>
      </c>
      <c r="C148" s="687"/>
      <c r="D148" s="687"/>
      <c r="E148" s="687"/>
      <c r="F148" s="687"/>
      <c r="G148" s="687"/>
      <c r="H148" s="839"/>
    </row>
    <row r="149" spans="1:8" s="107" customFormat="1" ht="12.75" thickBot="1">
      <c r="A149" s="132"/>
      <c r="B149" s="131" t="s">
        <v>468</v>
      </c>
      <c r="C149" s="680"/>
      <c r="D149" s="680"/>
      <c r="E149" s="680"/>
      <c r="F149" s="680"/>
      <c r="G149" s="680"/>
      <c r="H149" s="1246"/>
    </row>
    <row r="150" spans="1:8" s="107" customFormat="1" ht="12">
      <c r="A150" s="119"/>
      <c r="B150" s="118"/>
      <c r="C150" s="684"/>
      <c r="D150" s="684"/>
      <c r="E150" s="684"/>
      <c r="F150" s="684"/>
      <c r="G150" s="684"/>
      <c r="H150" s="838"/>
    </row>
    <row r="151" spans="1:8" s="107" customFormat="1" ht="12.75">
      <c r="A151" s="117"/>
      <c r="B151" s="615" t="s">
        <v>194</v>
      </c>
      <c r="C151" s="660"/>
      <c r="D151" s="660"/>
      <c r="E151" s="660"/>
      <c r="F151" s="660"/>
      <c r="G151" s="660"/>
      <c r="H151" s="288"/>
    </row>
    <row r="152" spans="1:8" s="107" customFormat="1" ht="12.75" thickBot="1">
      <c r="A152" s="129">
        <v>1305</v>
      </c>
      <c r="B152" s="614" t="s">
        <v>9</v>
      </c>
      <c r="C152" s="566">
        <v>20000</v>
      </c>
      <c r="D152" s="566">
        <v>20000</v>
      </c>
      <c r="E152" s="566">
        <v>20000</v>
      </c>
      <c r="F152" s="566">
        <v>20000</v>
      </c>
      <c r="G152" s="566">
        <v>17971</v>
      </c>
      <c r="H152" s="848">
        <f>SUM(G152/F152)</f>
        <v>0.89855</v>
      </c>
    </row>
    <row r="153" spans="1:8" s="107" customFormat="1" ht="15.75" thickBot="1">
      <c r="A153" s="140"/>
      <c r="B153" s="616" t="s">
        <v>231</v>
      </c>
      <c r="C153" s="688">
        <f>SUM(C152)</f>
        <v>20000</v>
      </c>
      <c r="D153" s="688">
        <f>SUM(D152)</f>
        <v>20000</v>
      </c>
      <c r="E153" s="688">
        <f>SUM(E152)</f>
        <v>20000</v>
      </c>
      <c r="F153" s="688">
        <f>SUM(F152)</f>
        <v>20000</v>
      </c>
      <c r="G153" s="688">
        <f>SUM(G152)</f>
        <v>17971</v>
      </c>
      <c r="H153" s="1246">
        <f>SUM(G153/F153)</f>
        <v>0.89855</v>
      </c>
    </row>
    <row r="154" spans="1:8" s="107" customFormat="1" ht="12">
      <c r="A154" s="119"/>
      <c r="B154" s="118"/>
      <c r="C154" s="684"/>
      <c r="D154" s="684"/>
      <c r="E154" s="684"/>
      <c r="F154" s="684"/>
      <c r="G154" s="684"/>
      <c r="H154" s="838"/>
    </row>
    <row r="155" spans="1:8" s="107" customFormat="1" ht="12">
      <c r="A155" s="117">
        <v>1310</v>
      </c>
      <c r="B155" s="232" t="s">
        <v>232</v>
      </c>
      <c r="C155" s="660"/>
      <c r="D155" s="660"/>
      <c r="E155" s="660"/>
      <c r="F155" s="660"/>
      <c r="G155" s="660"/>
      <c r="H155" s="288"/>
    </row>
    <row r="156" spans="1:8" s="107" customFormat="1" ht="12">
      <c r="A156" s="124">
        <v>1311</v>
      </c>
      <c r="B156" s="122" t="s">
        <v>100</v>
      </c>
      <c r="C156" s="689"/>
      <c r="D156" s="689"/>
      <c r="E156" s="689"/>
      <c r="F156" s="689"/>
      <c r="G156" s="689"/>
      <c r="H156" s="288"/>
    </row>
    <row r="157" spans="1:8" s="107" customFormat="1" ht="12">
      <c r="A157" s="124">
        <v>1312</v>
      </c>
      <c r="B157" s="122" t="s">
        <v>101</v>
      </c>
      <c r="C157" s="689"/>
      <c r="D157" s="689"/>
      <c r="E157" s="689"/>
      <c r="F157" s="689"/>
      <c r="G157" s="689"/>
      <c r="H157" s="288"/>
    </row>
    <row r="158" spans="1:8" s="107" customFormat="1" ht="12">
      <c r="A158" s="124">
        <v>1320</v>
      </c>
      <c r="B158" s="194" t="s">
        <v>233</v>
      </c>
      <c r="C158" s="686"/>
      <c r="D158" s="686"/>
      <c r="E158" s="686"/>
      <c r="F158" s="686"/>
      <c r="G158" s="686"/>
      <c r="H158" s="288"/>
    </row>
    <row r="159" spans="1:8" s="107" customFormat="1" ht="12">
      <c r="A159" s="124">
        <v>1321</v>
      </c>
      <c r="B159" s="122" t="s">
        <v>236</v>
      </c>
      <c r="C159" s="686"/>
      <c r="D159" s="686"/>
      <c r="E159" s="686"/>
      <c r="F159" s="686"/>
      <c r="G159" s="686"/>
      <c r="H159" s="288"/>
    </row>
    <row r="160" spans="1:8" s="107" customFormat="1" ht="12">
      <c r="A160" s="124">
        <v>1322</v>
      </c>
      <c r="B160" s="122" t="s">
        <v>237</v>
      </c>
      <c r="C160" s="686"/>
      <c r="D160" s="686"/>
      <c r="E160" s="686"/>
      <c r="F160" s="686"/>
      <c r="G160" s="686"/>
      <c r="H160" s="288"/>
    </row>
    <row r="161" spans="1:8" s="107" customFormat="1" ht="12">
      <c r="A161" s="124">
        <v>1323</v>
      </c>
      <c r="B161" s="126" t="s">
        <v>238</v>
      </c>
      <c r="C161" s="686"/>
      <c r="D161" s="686"/>
      <c r="E161" s="686"/>
      <c r="F161" s="686"/>
      <c r="G161" s="686"/>
      <c r="H161" s="288"/>
    </row>
    <row r="162" spans="1:8" s="107" customFormat="1" ht="12">
      <c r="A162" s="124">
        <v>1324</v>
      </c>
      <c r="B162" s="121" t="s">
        <v>488</v>
      </c>
      <c r="C162" s="686"/>
      <c r="D162" s="686"/>
      <c r="E162" s="686"/>
      <c r="F162" s="686"/>
      <c r="G162" s="686"/>
      <c r="H162" s="288"/>
    </row>
    <row r="163" spans="1:8" s="107" customFormat="1" ht="12.75" thickBot="1">
      <c r="A163" s="129">
        <v>1325</v>
      </c>
      <c r="B163" s="130" t="s">
        <v>239</v>
      </c>
      <c r="C163" s="690"/>
      <c r="D163" s="690"/>
      <c r="E163" s="690"/>
      <c r="F163" s="690"/>
      <c r="G163" s="690"/>
      <c r="H163" s="839"/>
    </row>
    <row r="164" spans="1:8" s="107" customFormat="1" ht="15.75" thickBot="1">
      <c r="A164" s="141"/>
      <c r="B164" s="178" t="s">
        <v>366</v>
      </c>
      <c r="C164" s="680"/>
      <c r="D164" s="680"/>
      <c r="E164" s="680"/>
      <c r="F164" s="680"/>
      <c r="G164" s="680"/>
      <c r="H164" s="1246"/>
    </row>
    <row r="165" spans="1:8" s="107" customFormat="1" ht="12">
      <c r="A165" s="139"/>
      <c r="B165" s="120"/>
      <c r="C165" s="670"/>
      <c r="D165" s="670"/>
      <c r="E165" s="670"/>
      <c r="F165" s="670"/>
      <c r="G165" s="670"/>
      <c r="H165" s="838"/>
    </row>
    <row r="166" spans="1:8" s="107" customFormat="1" ht="12.75" thickBot="1">
      <c r="A166" s="140">
        <v>1330</v>
      </c>
      <c r="B166" s="147" t="s">
        <v>240</v>
      </c>
      <c r="C166" s="675"/>
      <c r="D166" s="675"/>
      <c r="E166" s="675"/>
      <c r="F166" s="675"/>
      <c r="G166" s="675"/>
      <c r="H166" s="839"/>
    </row>
    <row r="167" spans="1:8" s="107" customFormat="1" ht="15.75" thickBot="1">
      <c r="A167" s="132"/>
      <c r="B167" s="231" t="s">
        <v>241</v>
      </c>
      <c r="C167" s="676"/>
      <c r="D167" s="676"/>
      <c r="E167" s="676"/>
      <c r="F167" s="676"/>
      <c r="G167" s="676"/>
      <c r="H167" s="1246"/>
    </row>
    <row r="168" spans="1:8" s="107" customFormat="1" ht="15.75" thickBot="1">
      <c r="A168" s="132"/>
      <c r="B168" s="213"/>
      <c r="C168" s="691"/>
      <c r="D168" s="691"/>
      <c r="E168" s="691"/>
      <c r="F168" s="691"/>
      <c r="G168" s="691"/>
      <c r="H168" s="1246"/>
    </row>
    <row r="169" spans="1:8" s="107" customFormat="1" ht="16.5" thickBot="1">
      <c r="A169" s="132"/>
      <c r="B169" s="234" t="s">
        <v>72</v>
      </c>
      <c r="C169" s="677">
        <f>SUM(C153+C164)</f>
        <v>20000</v>
      </c>
      <c r="D169" s="677">
        <f>SUM(D153+D164)</f>
        <v>20000</v>
      </c>
      <c r="E169" s="677">
        <f>SUM(E153+E164)</f>
        <v>20000</v>
      </c>
      <c r="F169" s="677">
        <f>SUM(F153+F164)</f>
        <v>20000</v>
      </c>
      <c r="G169" s="677">
        <f>SUM(G153+G164)</f>
        <v>17971</v>
      </c>
      <c r="H169" s="1246">
        <f>SUM(G169/F169)</f>
        <v>0.89855</v>
      </c>
    </row>
    <row r="170" spans="1:8" s="107" customFormat="1" ht="15">
      <c r="A170" s="119"/>
      <c r="B170" s="213"/>
      <c r="C170" s="670"/>
      <c r="D170" s="670"/>
      <c r="E170" s="670"/>
      <c r="F170" s="670"/>
      <c r="G170" s="670"/>
      <c r="H170" s="838"/>
    </row>
    <row r="171" spans="1:8" s="107" customFormat="1" ht="12">
      <c r="A171" s="124">
        <v>1335</v>
      </c>
      <c r="B171" s="122" t="s">
        <v>242</v>
      </c>
      <c r="C171" s="671"/>
      <c r="D171" s="671"/>
      <c r="E171" s="671"/>
      <c r="F171" s="671"/>
      <c r="G171" s="671"/>
      <c r="H171" s="288"/>
    </row>
    <row r="172" spans="1:8" s="107" customFormat="1" ht="12.75" thickBot="1">
      <c r="A172" s="124">
        <v>1336</v>
      </c>
      <c r="B172" s="122" t="s">
        <v>496</v>
      </c>
      <c r="C172" s="678"/>
      <c r="D172" s="678"/>
      <c r="E172" s="678"/>
      <c r="F172" s="678"/>
      <c r="G172" s="678"/>
      <c r="H172" s="839"/>
    </row>
    <row r="173" spans="1:8" s="107" customFormat="1" ht="15.75" thickBot="1">
      <c r="A173" s="132"/>
      <c r="B173" s="178" t="s">
        <v>467</v>
      </c>
      <c r="C173" s="676"/>
      <c r="D173" s="676"/>
      <c r="E173" s="676"/>
      <c r="F173" s="676"/>
      <c r="G173" s="676"/>
      <c r="H173" s="1246"/>
    </row>
    <row r="174" spans="1:8" s="107" customFormat="1" ht="12.75" thickBot="1">
      <c r="A174" s="142">
        <v>1340</v>
      </c>
      <c r="B174" s="249" t="s">
        <v>257</v>
      </c>
      <c r="C174" s="676"/>
      <c r="D174" s="676"/>
      <c r="E174" s="676"/>
      <c r="F174" s="676"/>
      <c r="G174" s="676"/>
      <c r="H174" s="1246"/>
    </row>
    <row r="175" spans="1:8" s="107" customFormat="1" ht="15.75" thickBot="1">
      <c r="A175" s="141"/>
      <c r="B175" s="231" t="s">
        <v>247</v>
      </c>
      <c r="C175" s="691"/>
      <c r="D175" s="691"/>
      <c r="E175" s="691"/>
      <c r="F175" s="691"/>
      <c r="G175" s="691"/>
      <c r="H175" s="1246"/>
    </row>
    <row r="176" spans="1:8" s="107" customFormat="1" ht="12">
      <c r="A176" s="1115"/>
      <c r="B176" s="128"/>
      <c r="C176" s="672"/>
      <c r="D176" s="672"/>
      <c r="E176" s="672"/>
      <c r="F176" s="672"/>
      <c r="G176" s="672"/>
      <c r="H176" s="838"/>
    </row>
    <row r="177" spans="1:8" s="107" customFormat="1" ht="12.75" thickBot="1">
      <c r="A177" s="129">
        <v>1345</v>
      </c>
      <c r="B177" s="130" t="s">
        <v>254</v>
      </c>
      <c r="C177" s="675"/>
      <c r="D177" s="675"/>
      <c r="E177" s="675"/>
      <c r="F177" s="675"/>
      <c r="G177" s="675"/>
      <c r="H177" s="839"/>
    </row>
    <row r="178" spans="1:8" s="107" customFormat="1" ht="15.75" thickBot="1">
      <c r="A178" s="141"/>
      <c r="B178" s="231" t="s">
        <v>255</v>
      </c>
      <c r="C178" s="691"/>
      <c r="D178" s="691"/>
      <c r="E178" s="691"/>
      <c r="F178" s="691"/>
      <c r="G178" s="691"/>
      <c r="H178" s="1246"/>
    </row>
    <row r="179" spans="1:8" s="107" customFormat="1" ht="15">
      <c r="A179" s="139"/>
      <c r="B179" s="233"/>
      <c r="C179" s="681"/>
      <c r="D179" s="681"/>
      <c r="E179" s="681"/>
      <c r="F179" s="681"/>
      <c r="G179" s="681"/>
      <c r="H179" s="838"/>
    </row>
    <row r="180" spans="1:8" s="107" customFormat="1" ht="12">
      <c r="A180" s="124">
        <v>1350</v>
      </c>
      <c r="B180" s="122" t="s">
        <v>470</v>
      </c>
      <c r="C180" s="655"/>
      <c r="D180" s="655">
        <v>42001</v>
      </c>
      <c r="E180" s="655">
        <v>42001</v>
      </c>
      <c r="F180" s="655">
        <v>42001</v>
      </c>
      <c r="G180" s="655">
        <v>42001</v>
      </c>
      <c r="H180" s="837">
        <f>SUM(G180/F180)</f>
        <v>1</v>
      </c>
    </row>
    <row r="181" spans="1:8" s="107" customFormat="1" ht="12">
      <c r="A181" s="124">
        <v>1351</v>
      </c>
      <c r="B181" s="122" t="s">
        <v>507</v>
      </c>
      <c r="C181" s="655">
        <v>698998</v>
      </c>
      <c r="D181" s="655">
        <v>719255</v>
      </c>
      <c r="E181" s="655">
        <v>719338</v>
      </c>
      <c r="F181" s="655">
        <v>719358</v>
      </c>
      <c r="G181" s="655">
        <v>719379</v>
      </c>
      <c r="H181" s="837">
        <f>SUM(G181/F181)</f>
        <v>1.0000291926968212</v>
      </c>
    </row>
    <row r="182" spans="1:8" s="107" customFormat="1" ht="12.75" thickBot="1">
      <c r="A182" s="140">
        <v>1352</v>
      </c>
      <c r="B182" s="128" t="s">
        <v>485</v>
      </c>
      <c r="C182" s="682"/>
      <c r="D182" s="682">
        <v>474</v>
      </c>
      <c r="E182" s="682">
        <v>474</v>
      </c>
      <c r="F182" s="682">
        <v>474</v>
      </c>
      <c r="G182" s="682">
        <v>474</v>
      </c>
      <c r="H182" s="848">
        <f>SUM(G182/F182)</f>
        <v>1</v>
      </c>
    </row>
    <row r="183" spans="1:8" s="107" customFormat="1" ht="15.75" thickBot="1">
      <c r="A183" s="132"/>
      <c r="B183" s="178" t="s">
        <v>49</v>
      </c>
      <c r="C183" s="680">
        <f>SUM(C180:C182)</f>
        <v>698998</v>
      </c>
      <c r="D183" s="680">
        <f>SUM(D180:D182)</f>
        <v>761730</v>
      </c>
      <c r="E183" s="680">
        <f>SUM(E180:E182)</f>
        <v>761813</v>
      </c>
      <c r="F183" s="680">
        <f>SUM(F180:F182)</f>
        <v>761833</v>
      </c>
      <c r="G183" s="680">
        <f>SUM(G180:G182)</f>
        <v>761854</v>
      </c>
      <c r="H183" s="1246">
        <f>SUM(G183/F183)</f>
        <v>1.0000275650962875</v>
      </c>
    </row>
    <row r="184" spans="1:8" s="107" customFormat="1" ht="12">
      <c r="A184" s="139"/>
      <c r="B184" s="200"/>
      <c r="C184" s="681"/>
      <c r="D184" s="681"/>
      <c r="E184" s="681"/>
      <c r="F184" s="681"/>
      <c r="G184" s="681"/>
      <c r="H184" s="838"/>
    </row>
    <row r="185" spans="1:8" s="107" customFormat="1" ht="12.75" thickBot="1">
      <c r="A185" s="124">
        <v>1355</v>
      </c>
      <c r="B185" s="122" t="s">
        <v>471</v>
      </c>
      <c r="C185" s="794"/>
      <c r="D185" s="794">
        <v>14500</v>
      </c>
      <c r="E185" s="794">
        <v>14500</v>
      </c>
      <c r="F185" s="794">
        <v>14500</v>
      </c>
      <c r="G185" s="794">
        <v>14500</v>
      </c>
      <c r="H185" s="848">
        <f>SUM(G185/F185)</f>
        <v>1</v>
      </c>
    </row>
    <row r="186" spans="1:8" s="107" customFormat="1" ht="15.75" thickBot="1">
      <c r="A186" s="132"/>
      <c r="B186" s="241" t="s">
        <v>256</v>
      </c>
      <c r="C186" s="680"/>
      <c r="D186" s="680">
        <f>SUM(D185)</f>
        <v>14500</v>
      </c>
      <c r="E186" s="680">
        <f>SUM(E185)</f>
        <v>14500</v>
      </c>
      <c r="F186" s="680">
        <f>SUM(F185)</f>
        <v>14500</v>
      </c>
      <c r="G186" s="680">
        <f>SUM(G185)</f>
        <v>14500</v>
      </c>
      <c r="H186" s="1246">
        <f>SUM(G186/F186)</f>
        <v>1</v>
      </c>
    </row>
    <row r="187" spans="1:8" s="107" customFormat="1" ht="12.75" thickBot="1">
      <c r="A187" s="132"/>
      <c r="B187" s="123"/>
      <c r="C187" s="683"/>
      <c r="D187" s="683"/>
      <c r="E187" s="683"/>
      <c r="F187" s="683"/>
      <c r="G187" s="683"/>
      <c r="H187" s="1246"/>
    </row>
    <row r="188" spans="1:8" s="107" customFormat="1" ht="16.5" thickBot="1">
      <c r="A188" s="132"/>
      <c r="B188" s="236" t="s">
        <v>74</v>
      </c>
      <c r="C188" s="783">
        <f>SUM(C186+C183+C169)</f>
        <v>718998</v>
      </c>
      <c r="D188" s="783">
        <f>SUM(D186+D183+D169)</f>
        <v>796230</v>
      </c>
      <c r="E188" s="783">
        <f>SUM(E186+E183+E169)</f>
        <v>796313</v>
      </c>
      <c r="F188" s="783">
        <f>SUM(F186+F183+F169)</f>
        <v>796333</v>
      </c>
      <c r="G188" s="783">
        <f>SUM(G186+G183+G169)</f>
        <v>794325</v>
      </c>
      <c r="H188" s="1246">
        <f>SUM(G188/F188)</f>
        <v>0.9974784418076358</v>
      </c>
    </row>
    <row r="189" spans="1:8" s="107" customFormat="1" ht="12" customHeight="1">
      <c r="A189" s="139"/>
      <c r="B189" s="242"/>
      <c r="C189" s="685"/>
      <c r="D189" s="685"/>
      <c r="E189" s="685"/>
      <c r="F189" s="685"/>
      <c r="G189" s="685"/>
      <c r="H189" s="838"/>
    </row>
    <row r="190" spans="1:8" s="107" customFormat="1" ht="15" customHeight="1">
      <c r="A190" s="117"/>
      <c r="B190" s="239" t="s">
        <v>53</v>
      </c>
      <c r="C190" s="654"/>
      <c r="D190" s="654"/>
      <c r="E190" s="654"/>
      <c r="F190" s="654"/>
      <c r="G190" s="654"/>
      <c r="H190" s="288"/>
    </row>
    <row r="191" spans="1:8" s="107" customFormat="1" ht="12.75" customHeight="1">
      <c r="A191" s="117"/>
      <c r="B191" s="243"/>
      <c r="C191" s="654"/>
      <c r="D191" s="654"/>
      <c r="E191" s="654"/>
      <c r="F191" s="654"/>
      <c r="G191" s="654"/>
      <c r="H191" s="288"/>
    </row>
    <row r="192" spans="1:8" s="107" customFormat="1" ht="12">
      <c r="A192" s="124">
        <v>1400</v>
      </c>
      <c r="B192" s="122" t="s">
        <v>221</v>
      </c>
      <c r="C192" s="671"/>
      <c r="D192" s="671"/>
      <c r="E192" s="671"/>
      <c r="F192" s="671"/>
      <c r="G192" s="671"/>
      <c r="H192" s="288"/>
    </row>
    <row r="193" spans="1:8" s="107" customFormat="1" ht="12.75" thickBot="1">
      <c r="A193" s="129">
        <v>1401</v>
      </c>
      <c r="B193" s="130" t="s">
        <v>460</v>
      </c>
      <c r="C193" s="664">
        <f>SUM('2.mell'!C610)</f>
        <v>8812</v>
      </c>
      <c r="D193" s="664">
        <f>SUM('2.mell'!D610)</f>
        <v>10162</v>
      </c>
      <c r="E193" s="664">
        <f>SUM('2.mell'!E610)</f>
        <v>13418</v>
      </c>
      <c r="F193" s="664">
        <f>SUM('2.mell'!F610)</f>
        <v>34142</v>
      </c>
      <c r="G193" s="664">
        <f>SUM('2.mell'!G610)</f>
        <v>44935</v>
      </c>
      <c r="H193" s="848">
        <f aca="true" t="shared" si="2" ref="H193:H202">SUM(G193/F193)</f>
        <v>1.3161209068010076</v>
      </c>
    </row>
    <row r="194" spans="1:8" s="107" customFormat="1" ht="12.75" thickBot="1">
      <c r="A194" s="132"/>
      <c r="B194" s="131" t="s">
        <v>468</v>
      </c>
      <c r="C194" s="658">
        <f>SUM(C193)</f>
        <v>8812</v>
      </c>
      <c r="D194" s="658">
        <f>SUM(D193)</f>
        <v>10162</v>
      </c>
      <c r="E194" s="658">
        <f>SUM(E193)</f>
        <v>13418</v>
      </c>
      <c r="F194" s="658">
        <f>SUM(F193)</f>
        <v>34142</v>
      </c>
      <c r="G194" s="658">
        <f>SUM(G193)</f>
        <v>44935</v>
      </c>
      <c r="H194" s="1246">
        <f t="shared" si="2"/>
        <v>1.3161209068010076</v>
      </c>
    </row>
    <row r="195" spans="1:8" s="107" customFormat="1" ht="12">
      <c r="A195" s="137">
        <v>1409</v>
      </c>
      <c r="B195" s="128" t="s">
        <v>446</v>
      </c>
      <c r="C195" s="828">
        <f>SUM('2.mell'!C612)</f>
        <v>0</v>
      </c>
      <c r="D195" s="828">
        <f>SUM('2.mell'!D612)</f>
        <v>0</v>
      </c>
      <c r="E195" s="828">
        <f>SUM('2.mell'!E612)</f>
        <v>0</v>
      </c>
      <c r="F195" s="828">
        <f>SUM('2.mell'!F612)</f>
        <v>63</v>
      </c>
      <c r="G195" s="828">
        <f>SUM('2.mell'!G612)</f>
        <v>66</v>
      </c>
      <c r="H195" s="838">
        <f t="shared" si="2"/>
        <v>1.0476190476190477</v>
      </c>
    </row>
    <row r="196" spans="1:8" s="107" customFormat="1" ht="12">
      <c r="A196" s="119">
        <v>1410</v>
      </c>
      <c r="B196" s="232" t="s">
        <v>232</v>
      </c>
      <c r="C196" s="685">
        <f>SUM(C197:C198)</f>
        <v>78886</v>
      </c>
      <c r="D196" s="685">
        <f>SUM(D197:D198)</f>
        <v>78886</v>
      </c>
      <c r="E196" s="685">
        <f>SUM(E197:E198)</f>
        <v>78886</v>
      </c>
      <c r="F196" s="685">
        <f>SUM(F197:F198)</f>
        <v>70371</v>
      </c>
      <c r="G196" s="685">
        <f>SUM(G197:G198)</f>
        <v>80159</v>
      </c>
      <c r="H196" s="288">
        <f t="shared" si="2"/>
        <v>1.139091387077063</v>
      </c>
    </row>
    <row r="197" spans="1:8" s="107" customFormat="1" ht="12">
      <c r="A197" s="124">
        <v>1411</v>
      </c>
      <c r="B197" s="122" t="s">
        <v>100</v>
      </c>
      <c r="C197" s="655">
        <f>SUM('2.mell'!C614)</f>
        <v>41971</v>
      </c>
      <c r="D197" s="655">
        <f>SUM('2.mell'!D614)</f>
        <v>41971</v>
      </c>
      <c r="E197" s="655">
        <f>SUM('2.mell'!E614)</f>
        <v>41971</v>
      </c>
      <c r="F197" s="655">
        <f>SUM('2.mell'!F614)</f>
        <v>39867</v>
      </c>
      <c r="G197" s="655">
        <f>SUM('2.mell'!G614)</f>
        <v>45724</v>
      </c>
      <c r="H197" s="837">
        <f t="shared" si="2"/>
        <v>1.1469134873454236</v>
      </c>
    </row>
    <row r="198" spans="1:8" s="107" customFormat="1" ht="12">
      <c r="A198" s="124">
        <v>1412</v>
      </c>
      <c r="B198" s="122" t="s">
        <v>101</v>
      </c>
      <c r="C198" s="655">
        <f>SUM('2.mell'!C615)</f>
        <v>36915</v>
      </c>
      <c r="D198" s="655">
        <f>SUM('2.mell'!D615)</f>
        <v>36915</v>
      </c>
      <c r="E198" s="655">
        <f>SUM('2.mell'!E615)</f>
        <v>36915</v>
      </c>
      <c r="F198" s="655">
        <f>SUM('2.mell'!F615)</f>
        <v>30504</v>
      </c>
      <c r="G198" s="655">
        <f>SUM('2.mell'!G615)</f>
        <v>34435</v>
      </c>
      <c r="H198" s="837">
        <f t="shared" si="2"/>
        <v>1.1288683451350643</v>
      </c>
    </row>
    <row r="199" spans="1:8" s="107" customFormat="1" ht="12">
      <c r="A199" s="124">
        <v>1420</v>
      </c>
      <c r="B199" s="194" t="s">
        <v>233</v>
      </c>
      <c r="C199" s="655">
        <f>SUM('2.mell'!C616)</f>
        <v>8225</v>
      </c>
      <c r="D199" s="655">
        <f>SUM('2.mell'!D616)</f>
        <v>8225</v>
      </c>
      <c r="E199" s="655">
        <f>SUM('2.mell'!E616)</f>
        <v>8331</v>
      </c>
      <c r="F199" s="655">
        <f>SUM('2.mell'!F616)</f>
        <v>13651</v>
      </c>
      <c r="G199" s="655">
        <f>SUM('2.mell'!G616)</f>
        <v>14799</v>
      </c>
      <c r="H199" s="837">
        <f t="shared" si="2"/>
        <v>1.084096403193905</v>
      </c>
    </row>
    <row r="200" spans="1:8" s="107" customFormat="1" ht="12">
      <c r="A200" s="124">
        <v>1421</v>
      </c>
      <c r="B200" s="122" t="s">
        <v>236</v>
      </c>
      <c r="C200" s="655">
        <f>SUM('2.mell'!C617)</f>
        <v>178375</v>
      </c>
      <c r="D200" s="655">
        <f>SUM('2.mell'!D617)</f>
        <v>178375</v>
      </c>
      <c r="E200" s="655">
        <f>SUM('2.mell'!E617)</f>
        <v>178375</v>
      </c>
      <c r="F200" s="655">
        <f>SUM('2.mell'!F617)</f>
        <v>180937</v>
      </c>
      <c r="G200" s="655">
        <f>SUM('2.mell'!G617)</f>
        <v>195161</v>
      </c>
      <c r="H200" s="837">
        <f t="shared" si="2"/>
        <v>1.0786129978942947</v>
      </c>
    </row>
    <row r="201" spans="1:8" s="107" customFormat="1" ht="12">
      <c r="A201" s="124">
        <v>1422</v>
      </c>
      <c r="B201" s="122" t="s">
        <v>237</v>
      </c>
      <c r="C201" s="655">
        <f>SUM('2.mell'!C618)</f>
        <v>68879</v>
      </c>
      <c r="D201" s="655">
        <f>SUM('2.mell'!D618)</f>
        <v>68879</v>
      </c>
      <c r="E201" s="655">
        <f>SUM('2.mell'!E618)</f>
        <v>68879</v>
      </c>
      <c r="F201" s="655">
        <f>SUM('2.mell'!F618)</f>
        <v>66295</v>
      </c>
      <c r="G201" s="655">
        <f>SUM('2.mell'!G618)</f>
        <v>72409</v>
      </c>
      <c r="H201" s="837">
        <f t="shared" si="2"/>
        <v>1.0922241496342107</v>
      </c>
    </row>
    <row r="202" spans="1:8" s="107" customFormat="1" ht="12">
      <c r="A202" s="124">
        <v>1423</v>
      </c>
      <c r="B202" s="126" t="s">
        <v>238</v>
      </c>
      <c r="C202" s="655">
        <f>SUM('2.mell'!C619)</f>
        <v>0</v>
      </c>
      <c r="D202" s="655">
        <f>SUM('2.mell'!D619)</f>
        <v>0</v>
      </c>
      <c r="E202" s="655">
        <f>SUM('2.mell'!E619)</f>
        <v>0</v>
      </c>
      <c r="F202" s="655">
        <f>SUM('2.mell'!F619)</f>
        <v>4902</v>
      </c>
      <c r="G202" s="655">
        <f>SUM('2.mell'!G619)</f>
        <v>12215</v>
      </c>
      <c r="H202" s="837">
        <f t="shared" si="2"/>
        <v>2.4918400652794777</v>
      </c>
    </row>
    <row r="203" spans="1:8" s="107" customFormat="1" ht="12">
      <c r="A203" s="124">
        <v>1424</v>
      </c>
      <c r="B203" s="121" t="s">
        <v>488</v>
      </c>
      <c r="C203" s="655">
        <f>SUM('2.mell'!C620)</f>
        <v>0</v>
      </c>
      <c r="D203" s="655">
        <f>SUM('2.mell'!D620)</f>
        <v>0</v>
      </c>
      <c r="E203" s="655">
        <f>SUM('2.mell'!E620)</f>
        <v>0</v>
      </c>
      <c r="F203" s="655">
        <f>SUM('2.mell'!F620)</f>
        <v>0</v>
      </c>
      <c r="G203" s="655">
        <f>SUM('2.mell'!G620)</f>
        <v>27</v>
      </c>
      <c r="H203" s="837"/>
    </row>
    <row r="204" spans="1:8" s="107" customFormat="1" ht="12.75" thickBot="1">
      <c r="A204" s="129">
        <v>1425</v>
      </c>
      <c r="B204" s="130" t="s">
        <v>239</v>
      </c>
      <c r="C204" s="655">
        <f>SUM('2.mell'!C621)</f>
        <v>0</v>
      </c>
      <c r="D204" s="655">
        <f>SUM('2.mell'!D621)</f>
        <v>0</v>
      </c>
      <c r="E204" s="655">
        <f>SUM('2.mell'!E621)</f>
        <v>328</v>
      </c>
      <c r="F204" s="655">
        <f>SUM('2.mell'!F621)</f>
        <v>5280</v>
      </c>
      <c r="G204" s="655">
        <f>SUM('2.mell'!G621)</f>
        <v>6567</v>
      </c>
      <c r="H204" s="848">
        <f aca="true" t="shared" si="3" ref="H204:H266">SUM(G204/F204)</f>
        <v>1.24375</v>
      </c>
    </row>
    <row r="205" spans="1:8" s="107" customFormat="1" ht="15.75" thickBot="1">
      <c r="A205" s="141"/>
      <c r="B205" s="178" t="s">
        <v>366</v>
      </c>
      <c r="C205" s="680">
        <f>SUM(C196+C199+C201+C200+C204+C202+C195)</f>
        <v>334365</v>
      </c>
      <c r="D205" s="680">
        <f>SUM(D196+D199+D201+D200+D204+D202+D195)</f>
        <v>334365</v>
      </c>
      <c r="E205" s="680">
        <f>SUM(E196+E199+E201+E200+E204+E202+E195)</f>
        <v>334799</v>
      </c>
      <c r="F205" s="680">
        <f>SUM(F196+F199+F201+F200+F204+F202+F195)</f>
        <v>341499</v>
      </c>
      <c r="G205" s="680">
        <f>SUM(G196+G199+G201+G200+G204+G202+G195+G203)</f>
        <v>381403</v>
      </c>
      <c r="H205" s="1246">
        <f t="shared" si="3"/>
        <v>1.1168495368946907</v>
      </c>
    </row>
    <row r="206" spans="1:8" s="107" customFormat="1" ht="12">
      <c r="A206" s="139"/>
      <c r="B206" s="120"/>
      <c r="C206" s="670"/>
      <c r="D206" s="670"/>
      <c r="E206" s="670"/>
      <c r="F206" s="670"/>
      <c r="G206" s="670"/>
      <c r="H206" s="838"/>
    </row>
    <row r="207" spans="1:8" s="107" customFormat="1" ht="12.75" thickBot="1">
      <c r="A207" s="140">
        <v>1430</v>
      </c>
      <c r="B207" s="147" t="s">
        <v>240</v>
      </c>
      <c r="C207" s="675"/>
      <c r="D207" s="675"/>
      <c r="E207" s="675"/>
      <c r="F207" s="794">
        <f>SUM('2.mell'!F623)</f>
        <v>1084</v>
      </c>
      <c r="G207" s="794">
        <f>SUM('2.mell'!G623)</f>
        <v>1084</v>
      </c>
      <c r="H207" s="848">
        <f t="shared" si="3"/>
        <v>1</v>
      </c>
    </row>
    <row r="208" spans="1:8" s="107" customFormat="1" ht="15.75" thickBot="1">
      <c r="A208" s="132"/>
      <c r="B208" s="231" t="s">
        <v>241</v>
      </c>
      <c r="C208" s="676"/>
      <c r="D208" s="676"/>
      <c r="E208" s="676"/>
      <c r="F208" s="680">
        <f>SUM(F207)</f>
        <v>1084</v>
      </c>
      <c r="G208" s="680">
        <f>SUM(G207)</f>
        <v>1084</v>
      </c>
      <c r="H208" s="1246">
        <f t="shared" si="3"/>
        <v>1</v>
      </c>
    </row>
    <row r="209" spans="1:8" s="107" customFormat="1" ht="12" customHeight="1" thickBot="1">
      <c r="A209" s="132"/>
      <c r="B209" s="213"/>
      <c r="C209" s="676"/>
      <c r="D209" s="676"/>
      <c r="E209" s="676"/>
      <c r="F209" s="676"/>
      <c r="G209" s="676"/>
      <c r="H209" s="1246"/>
    </row>
    <row r="210" spans="1:8" s="107" customFormat="1" ht="16.5" thickBot="1">
      <c r="A210" s="132"/>
      <c r="B210" s="234" t="s">
        <v>72</v>
      </c>
      <c r="C210" s="677">
        <f>SUM(C205+C208+C194)</f>
        <v>343177</v>
      </c>
      <c r="D210" s="677">
        <f>SUM(D205+D208+D194)</f>
        <v>344527</v>
      </c>
      <c r="E210" s="677">
        <f>SUM(E205+E208+E194)</f>
        <v>348217</v>
      </c>
      <c r="F210" s="677">
        <f>SUM(F205+F208+F194)</f>
        <v>376725</v>
      </c>
      <c r="G210" s="677">
        <f>SUM(G205+G208+G194)</f>
        <v>427422</v>
      </c>
      <c r="H210" s="1246">
        <f t="shared" si="3"/>
        <v>1.134572964363926</v>
      </c>
    </row>
    <row r="211" spans="1:8" s="107" customFormat="1" ht="10.5" customHeight="1">
      <c r="A211" s="119"/>
      <c r="B211" s="786"/>
      <c r="C211" s="670"/>
      <c r="D211" s="670"/>
      <c r="E211" s="670"/>
      <c r="F211" s="670"/>
      <c r="G211" s="670"/>
      <c r="H211" s="838"/>
    </row>
    <row r="212" spans="1:8" s="107" customFormat="1" ht="12">
      <c r="A212" s="124">
        <v>1435</v>
      </c>
      <c r="B212" s="122" t="s">
        <v>242</v>
      </c>
      <c r="C212" s="671"/>
      <c r="D212" s="671"/>
      <c r="E212" s="671"/>
      <c r="F212" s="671"/>
      <c r="G212" s="671"/>
      <c r="H212" s="288"/>
    </row>
    <row r="213" spans="1:8" s="107" customFormat="1" ht="12.75" thickBot="1">
      <c r="A213" s="124">
        <v>1436</v>
      </c>
      <c r="B213" s="122" t="s">
        <v>472</v>
      </c>
      <c r="C213" s="794">
        <f>SUM('2.mell'!C626)</f>
        <v>0</v>
      </c>
      <c r="D213" s="794">
        <f>SUM('2.mell'!D626)</f>
        <v>0</v>
      </c>
      <c r="E213" s="794">
        <f>SUM('2.mell'!E626)</f>
        <v>1885</v>
      </c>
      <c r="F213" s="794">
        <f>SUM('2.mell'!F626)</f>
        <v>1885</v>
      </c>
      <c r="G213" s="794">
        <f>SUM('2.mell'!G626)</f>
        <v>1885</v>
      </c>
      <c r="H213" s="848">
        <f t="shared" si="3"/>
        <v>1</v>
      </c>
    </row>
    <row r="214" spans="1:8" s="107" customFormat="1" ht="15.75" thickBot="1">
      <c r="A214" s="132"/>
      <c r="B214" s="178" t="s">
        <v>467</v>
      </c>
      <c r="C214" s="680">
        <f>SUM(C213)</f>
        <v>0</v>
      </c>
      <c r="D214" s="680">
        <f>SUM(D213)</f>
        <v>0</v>
      </c>
      <c r="E214" s="680">
        <f>SUM(E213)</f>
        <v>1885</v>
      </c>
      <c r="F214" s="680">
        <f>SUM(F213)</f>
        <v>1885</v>
      </c>
      <c r="G214" s="680">
        <f>SUM(G213)</f>
        <v>1885</v>
      </c>
      <c r="H214" s="1246">
        <f t="shared" si="3"/>
        <v>1</v>
      </c>
    </row>
    <row r="215" spans="1:8" s="107" customFormat="1" ht="9.75" customHeight="1">
      <c r="A215" s="139"/>
      <c r="B215" s="233"/>
      <c r="C215" s="670"/>
      <c r="D215" s="670"/>
      <c r="E215" s="670"/>
      <c r="F215" s="670"/>
      <c r="G215" s="670"/>
      <c r="H215" s="838"/>
    </row>
    <row r="216" spans="1:8" s="107" customFormat="1" ht="12.75" thickBot="1">
      <c r="A216" s="129">
        <v>1440</v>
      </c>
      <c r="B216" s="130" t="s">
        <v>257</v>
      </c>
      <c r="C216" s="657">
        <f>SUM('2.mell'!C627)</f>
        <v>0</v>
      </c>
      <c r="D216" s="657">
        <f>SUM('2.mell'!D627)</f>
        <v>0</v>
      </c>
      <c r="E216" s="657">
        <f>SUM('2.mell'!E627)</f>
        <v>0</v>
      </c>
      <c r="F216" s="657">
        <f>SUM('2.mell'!F627)</f>
        <v>0</v>
      </c>
      <c r="G216" s="657">
        <f>SUM('2.mell'!G627)</f>
        <v>0</v>
      </c>
      <c r="H216" s="839"/>
    </row>
    <row r="217" spans="1:8" s="107" customFormat="1" ht="15.75" thickBot="1">
      <c r="A217" s="141"/>
      <c r="B217" s="231" t="s">
        <v>247</v>
      </c>
      <c r="C217" s="680">
        <f>SUM(C216)</f>
        <v>0</v>
      </c>
      <c r="D217" s="680">
        <f>SUM(D216)</f>
        <v>0</v>
      </c>
      <c r="E217" s="680">
        <f>SUM(E216)</f>
        <v>0</v>
      </c>
      <c r="F217" s="680">
        <f>SUM(F216)</f>
        <v>0</v>
      </c>
      <c r="G217" s="680">
        <f>SUM(G216)</f>
        <v>0</v>
      </c>
      <c r="H217" s="1246"/>
    </row>
    <row r="218" spans="1:8" s="107" customFormat="1" ht="15">
      <c r="A218" s="139"/>
      <c r="B218" s="233"/>
      <c r="C218" s="670"/>
      <c r="D218" s="670"/>
      <c r="E218" s="670"/>
      <c r="F218" s="670"/>
      <c r="G218" s="670"/>
      <c r="H218" s="838"/>
    </row>
    <row r="219" spans="1:8" s="107" customFormat="1" ht="12.75" thickBot="1">
      <c r="A219" s="215">
        <v>1445</v>
      </c>
      <c r="B219" s="134" t="s">
        <v>254</v>
      </c>
      <c r="C219" s="794">
        <f>SUM('2.mell'!C624)</f>
        <v>0</v>
      </c>
      <c r="D219" s="794">
        <f>SUM('2.mell'!D624)</f>
        <v>0</v>
      </c>
      <c r="E219" s="794">
        <f>SUM('2.mell'!E624)</f>
        <v>0</v>
      </c>
      <c r="F219" s="794"/>
      <c r="G219" s="794"/>
      <c r="H219" s="839"/>
    </row>
    <row r="220" spans="1:8" s="107" customFormat="1" ht="15.75" thickBot="1">
      <c r="A220" s="132"/>
      <c r="B220" s="178" t="s">
        <v>255</v>
      </c>
      <c r="C220" s="680">
        <f>SUM(C219)</f>
        <v>0</v>
      </c>
      <c r="D220" s="680">
        <f>SUM(D219)</f>
        <v>0</v>
      </c>
      <c r="E220" s="680">
        <f>SUM(E219)</f>
        <v>0</v>
      </c>
      <c r="F220" s="680"/>
      <c r="G220" s="680"/>
      <c r="H220" s="1246"/>
    </row>
    <row r="221" spans="1:8" s="107" customFormat="1" ht="15">
      <c r="A221" s="139"/>
      <c r="B221" s="233"/>
      <c r="C221" s="681"/>
      <c r="D221" s="681"/>
      <c r="E221" s="681"/>
      <c r="F221" s="681"/>
      <c r="G221" s="681"/>
      <c r="H221" s="838"/>
    </row>
    <row r="222" spans="1:8" s="107" customFormat="1" ht="12">
      <c r="A222" s="124">
        <v>1450</v>
      </c>
      <c r="B222" s="122" t="s">
        <v>470</v>
      </c>
      <c r="C222" s="655">
        <f>SUM('2.mell'!C629)</f>
        <v>0</v>
      </c>
      <c r="D222" s="655">
        <f>SUM('2.mell'!D629)</f>
        <v>31711</v>
      </c>
      <c r="E222" s="655">
        <f>SUM('2.mell'!E629)</f>
        <v>31711</v>
      </c>
      <c r="F222" s="655">
        <f>SUM('2.mell'!F629)</f>
        <v>31711</v>
      </c>
      <c r="G222" s="655">
        <f>SUM('2.mell'!G629)</f>
        <v>31711</v>
      </c>
      <c r="H222" s="837">
        <f t="shared" si="3"/>
        <v>1</v>
      </c>
    </row>
    <row r="223" spans="1:8" s="107" customFormat="1" ht="12.75" thickBot="1">
      <c r="A223" s="140">
        <v>1451</v>
      </c>
      <c r="B223" s="128" t="s">
        <v>507</v>
      </c>
      <c r="C223" s="682">
        <f>SUM('2.mell'!C630+'2.mell'!C631)</f>
        <v>3978656</v>
      </c>
      <c r="D223" s="682">
        <f>SUM('2.mell'!D630+'2.mell'!D631)</f>
        <v>4113279</v>
      </c>
      <c r="E223" s="682">
        <f>SUM('2.mell'!E630+'2.mell'!E631)</f>
        <v>4167472</v>
      </c>
      <c r="F223" s="682">
        <f>SUM('2.mell'!F630+'2.mell'!F631)</f>
        <v>4180071</v>
      </c>
      <c r="G223" s="682">
        <f>SUM('2.mell'!G630+'2.mell'!G631)</f>
        <v>4180801</v>
      </c>
      <c r="H223" s="848">
        <f t="shared" si="3"/>
        <v>1.000174638181983</v>
      </c>
    </row>
    <row r="224" spans="1:8" s="107" customFormat="1" ht="15.75" thickBot="1">
      <c r="A224" s="132"/>
      <c r="B224" s="178" t="s">
        <v>49</v>
      </c>
      <c r="C224" s="680">
        <f>SUM(C222:C223)</f>
        <v>3978656</v>
      </c>
      <c r="D224" s="680">
        <f>SUM(D222:D223)</f>
        <v>4144990</v>
      </c>
      <c r="E224" s="680">
        <f>SUM(E222:E223)</f>
        <v>4199183</v>
      </c>
      <c r="F224" s="680">
        <f>SUM(F222:F223)</f>
        <v>4211782</v>
      </c>
      <c r="G224" s="680">
        <f>SUM(G222:G223)</f>
        <v>4212512</v>
      </c>
      <c r="H224" s="1246">
        <f t="shared" si="3"/>
        <v>1.0001733233106558</v>
      </c>
    </row>
    <row r="225" spans="1:8" s="145" customFormat="1" ht="13.5" customHeight="1">
      <c r="A225" s="139"/>
      <c r="B225" s="200"/>
      <c r="C225" s="681"/>
      <c r="D225" s="681"/>
      <c r="E225" s="681"/>
      <c r="F225" s="681"/>
      <c r="G225" s="681"/>
      <c r="H225" s="838"/>
    </row>
    <row r="226" spans="1:8" s="145" customFormat="1" ht="13.5" thickBot="1">
      <c r="A226" s="124">
        <v>1455</v>
      </c>
      <c r="B226" s="122" t="s">
        <v>471</v>
      </c>
      <c r="C226" s="655">
        <f>SUM('2.mell'!C634)</f>
        <v>0</v>
      </c>
      <c r="D226" s="655">
        <f>SUM('2.mell'!D634)</f>
        <v>524</v>
      </c>
      <c r="E226" s="655">
        <f>SUM('2.mell'!E634)</f>
        <v>524</v>
      </c>
      <c r="F226" s="655">
        <f>SUM('2.mell'!F634)</f>
        <v>524</v>
      </c>
      <c r="G226" s="655">
        <f>SUM('2.mell'!G634)</f>
        <v>524</v>
      </c>
      <c r="H226" s="848">
        <f t="shared" si="3"/>
        <v>1</v>
      </c>
    </row>
    <row r="227" spans="1:8" s="107" customFormat="1" ht="15.75" thickBot="1">
      <c r="A227" s="132"/>
      <c r="B227" s="241" t="s">
        <v>256</v>
      </c>
      <c r="C227" s="680">
        <f>SUM(C226)</f>
        <v>0</v>
      </c>
      <c r="D227" s="680">
        <f>SUM(D226)</f>
        <v>524</v>
      </c>
      <c r="E227" s="680">
        <f>SUM(E226)</f>
        <v>524</v>
      </c>
      <c r="F227" s="680">
        <f>SUM(F226)</f>
        <v>524</v>
      </c>
      <c r="G227" s="680">
        <f>SUM(G226)</f>
        <v>524</v>
      </c>
      <c r="H227" s="1246">
        <f t="shared" si="3"/>
        <v>1</v>
      </c>
    </row>
    <row r="228" spans="1:8" s="107" customFormat="1" ht="12.75" thickBot="1">
      <c r="A228" s="132"/>
      <c r="B228" s="123"/>
      <c r="C228" s="683"/>
      <c r="D228" s="683"/>
      <c r="E228" s="683"/>
      <c r="F228" s="683"/>
      <c r="G228" s="683"/>
      <c r="H228" s="1246"/>
    </row>
    <row r="229" spans="1:8" s="107" customFormat="1" ht="16.5" thickBot="1">
      <c r="A229" s="132"/>
      <c r="B229" s="236" t="s">
        <v>54</v>
      </c>
      <c r="C229" s="783">
        <f>SUM(C227+C224+C210+C220+C214+C217)</f>
        <v>4321833</v>
      </c>
      <c r="D229" s="783">
        <f>SUM(D227+D224+D210+D220+D214+D217)</f>
        <v>4490041</v>
      </c>
      <c r="E229" s="783">
        <f>SUM(E227+E224+E210+E220+E214+E217)</f>
        <v>4549809</v>
      </c>
      <c r="F229" s="783">
        <f>SUM(F227+F224+F210+F220+F214+F217)</f>
        <v>4590916</v>
      </c>
      <c r="G229" s="783">
        <f>SUM(G227+G224+G210+G220+G214+G217)</f>
        <v>4642343</v>
      </c>
      <c r="H229" s="1246">
        <f t="shared" si="3"/>
        <v>1.0112019039337683</v>
      </c>
    </row>
    <row r="230" spans="1:8" s="145" customFormat="1" ht="12.75">
      <c r="A230" s="144"/>
      <c r="B230" s="167"/>
      <c r="C230" s="692"/>
      <c r="D230" s="692"/>
      <c r="E230" s="692"/>
      <c r="F230" s="692"/>
      <c r="G230" s="692"/>
      <c r="H230" s="838"/>
    </row>
    <row r="231" spans="1:8" s="145" customFormat="1" ht="17.25" customHeight="1">
      <c r="A231" s="146"/>
      <c r="B231" s="239" t="s">
        <v>364</v>
      </c>
      <c r="C231" s="693"/>
      <c r="D231" s="693"/>
      <c r="E231" s="693"/>
      <c r="F231" s="693"/>
      <c r="G231" s="693"/>
      <c r="H231" s="288"/>
    </row>
    <row r="232" spans="1:8" s="145" customFormat="1" ht="12.75">
      <c r="A232" s="146"/>
      <c r="B232" s="111"/>
      <c r="C232" s="693"/>
      <c r="D232" s="693"/>
      <c r="E232" s="693"/>
      <c r="F232" s="693"/>
      <c r="G232" s="693"/>
      <c r="H232" s="288"/>
    </row>
    <row r="233" spans="1:8" s="145" customFormat="1" ht="12.75">
      <c r="A233" s="124">
        <v>1500</v>
      </c>
      <c r="B233" s="122" t="s">
        <v>217</v>
      </c>
      <c r="C233" s="656">
        <f>SUM(C10)</f>
        <v>1701515</v>
      </c>
      <c r="D233" s="656">
        <f>SUM(D10)</f>
        <v>1766182</v>
      </c>
      <c r="E233" s="656">
        <f>SUM(E10)</f>
        <v>1957100</v>
      </c>
      <c r="F233" s="656">
        <f>SUM(F10)</f>
        <v>1957533</v>
      </c>
      <c r="G233" s="656">
        <f>SUM(G10)</f>
        <v>1978771</v>
      </c>
      <c r="H233" s="837">
        <f t="shared" si="3"/>
        <v>1.0108493701000187</v>
      </c>
    </row>
    <row r="234" spans="1:8" s="145" customFormat="1" ht="12.75">
      <c r="A234" s="124">
        <v>1501</v>
      </c>
      <c r="B234" s="122" t="s">
        <v>221</v>
      </c>
      <c r="C234" s="656">
        <f>SUM(C17)</f>
        <v>0</v>
      </c>
      <c r="D234" s="656">
        <f>SUM(D17)</f>
        <v>31</v>
      </c>
      <c r="E234" s="656">
        <f>SUM(E17)</f>
        <v>31</v>
      </c>
      <c r="F234" s="656">
        <f>SUM(F17)</f>
        <v>31</v>
      </c>
      <c r="G234" s="656">
        <f>SUM(G17)</f>
        <v>108</v>
      </c>
      <c r="H234" s="837">
        <f t="shared" si="3"/>
        <v>3.4838709677419355</v>
      </c>
    </row>
    <row r="235" spans="1:8" s="145" customFormat="1" ht="13.5" thickBot="1">
      <c r="A235" s="129">
        <v>1502</v>
      </c>
      <c r="B235" s="130" t="s">
        <v>460</v>
      </c>
      <c r="C235" s="656">
        <f>SUM(C193+C18+C107+C148)</f>
        <v>20484</v>
      </c>
      <c r="D235" s="656">
        <f>SUM(D193+D18+D107+D148)</f>
        <v>28608</v>
      </c>
      <c r="E235" s="656">
        <f>SUM(E193+E18+E107+E148)</f>
        <v>36454</v>
      </c>
      <c r="F235" s="656">
        <f>SUM(F193+F18+F107+F148)</f>
        <v>60039</v>
      </c>
      <c r="G235" s="656">
        <f>SUM(G193+G18+G107+G148)</f>
        <v>72542</v>
      </c>
      <c r="H235" s="848">
        <f t="shared" si="3"/>
        <v>1.208247972151435</v>
      </c>
    </row>
    <row r="236" spans="1:8" s="145" customFormat="1" ht="13.5" thickBot="1">
      <c r="A236" s="132"/>
      <c r="B236" s="135" t="s">
        <v>461</v>
      </c>
      <c r="C236" s="694">
        <f>SUM(C233:C235)</f>
        <v>1721999</v>
      </c>
      <c r="D236" s="694">
        <f>SUM(D233:D235)</f>
        <v>1794821</v>
      </c>
      <c r="E236" s="694">
        <f>SUM(E233:E235)</f>
        <v>1993585</v>
      </c>
      <c r="F236" s="694">
        <f>SUM(F233:F235)</f>
        <v>2017603</v>
      </c>
      <c r="G236" s="694">
        <f>SUM(G233:G235)</f>
        <v>2051421</v>
      </c>
      <c r="H236" s="1246">
        <f t="shared" si="3"/>
        <v>1.0167614738875785</v>
      </c>
    </row>
    <row r="237" spans="1:8" s="145" customFormat="1" ht="12.75">
      <c r="A237" s="125">
        <v>1510</v>
      </c>
      <c r="B237" s="126" t="s">
        <v>224</v>
      </c>
      <c r="C237" s="695">
        <f>SUM(C21)</f>
        <v>3630000</v>
      </c>
      <c r="D237" s="695">
        <f>SUM(D21)</f>
        <v>3630000</v>
      </c>
      <c r="E237" s="695">
        <f>SUM(E21)</f>
        <v>3630000</v>
      </c>
      <c r="F237" s="695">
        <f>SUM(F21)</f>
        <v>3630000</v>
      </c>
      <c r="G237" s="695">
        <f>SUM(G21)</f>
        <v>3630000</v>
      </c>
      <c r="H237" s="1247">
        <f t="shared" si="3"/>
        <v>1</v>
      </c>
    </row>
    <row r="238" spans="1:8" s="145" customFormat="1" ht="12.75">
      <c r="A238" s="124">
        <v>1511</v>
      </c>
      <c r="B238" s="126" t="s">
        <v>225</v>
      </c>
      <c r="C238" s="656">
        <f>SUM(C24)</f>
        <v>4629284</v>
      </c>
      <c r="D238" s="656">
        <f>SUM(D24)</f>
        <v>4629284</v>
      </c>
      <c r="E238" s="656">
        <f>SUM(E24)</f>
        <v>4629284</v>
      </c>
      <c r="F238" s="656">
        <f>SUM(F24)</f>
        <v>4629284</v>
      </c>
      <c r="G238" s="656">
        <f>SUM(G24)</f>
        <v>4629284</v>
      </c>
      <c r="H238" s="837">
        <f t="shared" si="3"/>
        <v>1</v>
      </c>
    </row>
    <row r="239" spans="1:8" s="145" customFormat="1" ht="13.5" thickBot="1">
      <c r="A239" s="129">
        <v>1514</v>
      </c>
      <c r="B239" s="130" t="s">
        <v>194</v>
      </c>
      <c r="C239" s="696">
        <f>SUM(C28+C153)</f>
        <v>348560</v>
      </c>
      <c r="D239" s="696">
        <f>SUM(D28+D153)</f>
        <v>348560</v>
      </c>
      <c r="E239" s="696">
        <f>SUM(E28+E153)</f>
        <v>348560</v>
      </c>
      <c r="F239" s="696">
        <f>SUM(F28+F153)</f>
        <v>348560</v>
      </c>
      <c r="G239" s="696">
        <f>SUM(G28+G153)</f>
        <v>322335</v>
      </c>
      <c r="H239" s="848">
        <f t="shared" si="3"/>
        <v>0.9247618774386045</v>
      </c>
    </row>
    <row r="240" spans="1:8" s="145" customFormat="1" ht="13.5" thickBot="1">
      <c r="A240" s="132"/>
      <c r="B240" s="244" t="s">
        <v>231</v>
      </c>
      <c r="C240" s="694">
        <f>SUM(C237:C239)</f>
        <v>8607844</v>
      </c>
      <c r="D240" s="694">
        <f>SUM(D237:D239)</f>
        <v>8607844</v>
      </c>
      <c r="E240" s="694">
        <f>SUM(E237:E239)</f>
        <v>8607844</v>
      </c>
      <c r="F240" s="694">
        <f>SUM(F237:F239)</f>
        <v>8607844</v>
      </c>
      <c r="G240" s="694">
        <f>SUM(G237:G239)</f>
        <v>8581619</v>
      </c>
      <c r="H240" s="1246">
        <f t="shared" si="3"/>
        <v>0.9969533602142417</v>
      </c>
    </row>
    <row r="241" spans="1:8" s="145" customFormat="1" ht="12.75">
      <c r="A241" s="125">
        <v>1519</v>
      </c>
      <c r="B241" s="210" t="s">
        <v>446</v>
      </c>
      <c r="C241" s="695">
        <f>SUM(C195)</f>
        <v>0</v>
      </c>
      <c r="D241" s="695">
        <f>SUM(D195)</f>
        <v>0</v>
      </c>
      <c r="E241" s="695">
        <f>SUM(E195)</f>
        <v>0</v>
      </c>
      <c r="F241" s="695">
        <f>SUM(F195)</f>
        <v>63</v>
      </c>
      <c r="G241" s="695">
        <f>SUM(G195)</f>
        <v>66</v>
      </c>
      <c r="H241" s="856">
        <f t="shared" si="3"/>
        <v>1.0476190476190477</v>
      </c>
    </row>
    <row r="242" spans="1:8" s="145" customFormat="1" ht="12.75">
      <c r="A242" s="125">
        <v>1520</v>
      </c>
      <c r="B242" s="210" t="s">
        <v>232</v>
      </c>
      <c r="C242" s="695">
        <f>SUM(C40+C109+C155+C196)</f>
        <v>1633436</v>
      </c>
      <c r="D242" s="695">
        <f>SUM(D40+D109+D155+D196)</f>
        <v>1633436</v>
      </c>
      <c r="E242" s="695">
        <f>SUM(E40+E109+E155+E196)</f>
        <v>1633436</v>
      </c>
      <c r="F242" s="695">
        <f>SUM(F40+F109+F155+F196)</f>
        <v>1624921</v>
      </c>
      <c r="G242" s="695">
        <f>SUM(G40+G109+G155+G196)</f>
        <v>1627192</v>
      </c>
      <c r="H242" s="837">
        <f t="shared" si="3"/>
        <v>1.0013976064067114</v>
      </c>
    </row>
    <row r="243" spans="1:8" s="145" customFormat="1" ht="12.75">
      <c r="A243" s="124">
        <v>1521</v>
      </c>
      <c r="B243" s="194" t="s">
        <v>233</v>
      </c>
      <c r="C243" s="656">
        <f>SUM(C49+C112+C158+C199)</f>
        <v>220225</v>
      </c>
      <c r="D243" s="656">
        <f>SUM(D49+D112+D158+D199)</f>
        <v>220225</v>
      </c>
      <c r="E243" s="656">
        <f>SUM(E49+E112+E158+E199)</f>
        <v>220331</v>
      </c>
      <c r="F243" s="656">
        <f>SUM(F49+F112+F158+F199)</f>
        <v>225651</v>
      </c>
      <c r="G243" s="656">
        <f>SUM(G49+G112+G158+G199)</f>
        <v>224359</v>
      </c>
      <c r="H243" s="837">
        <f t="shared" si="3"/>
        <v>0.9942743440091114</v>
      </c>
    </row>
    <row r="244" spans="1:8" s="145" customFormat="1" ht="12.75">
      <c r="A244" s="571">
        <v>1522</v>
      </c>
      <c r="B244" s="568" t="s">
        <v>368</v>
      </c>
      <c r="C244" s="656">
        <f>SUM(C53)</f>
        <v>0</v>
      </c>
      <c r="D244" s="656">
        <f>SUM(D53)</f>
        <v>0</v>
      </c>
      <c r="E244" s="656">
        <f>SUM(E53)</f>
        <v>0</v>
      </c>
      <c r="F244" s="656">
        <f>SUM(F53)</f>
        <v>0</v>
      </c>
      <c r="G244" s="656">
        <f>SUM(G53)</f>
        <v>0</v>
      </c>
      <c r="H244" s="837"/>
    </row>
    <row r="245" spans="1:8" s="145" customFormat="1" ht="12.75">
      <c r="A245" s="124">
        <v>1523</v>
      </c>
      <c r="B245" s="122" t="s">
        <v>236</v>
      </c>
      <c r="C245" s="656">
        <f>SUM(C113+C159+C200+C54)</f>
        <v>178375</v>
      </c>
      <c r="D245" s="656">
        <f>SUM(D113+D159+D200+D54)</f>
        <v>178375</v>
      </c>
      <c r="E245" s="656">
        <f>SUM(E113+E159+E200+E54)</f>
        <v>178375</v>
      </c>
      <c r="F245" s="656">
        <f>SUM(F113+F159+F200+F54)</f>
        <v>180937</v>
      </c>
      <c r="G245" s="656">
        <f>SUM(G113+G159+G200+G54)</f>
        <v>195161</v>
      </c>
      <c r="H245" s="837">
        <f t="shared" si="3"/>
        <v>1.0786129978942947</v>
      </c>
    </row>
    <row r="246" spans="1:8" s="145" customFormat="1" ht="12.75">
      <c r="A246" s="124">
        <v>1524</v>
      </c>
      <c r="B246" s="122" t="s">
        <v>237</v>
      </c>
      <c r="C246" s="656">
        <f>SUM(C55+C114+C160+C201)</f>
        <v>545847</v>
      </c>
      <c r="D246" s="656">
        <f>SUM(D55+D114+D160+D201)</f>
        <v>545847</v>
      </c>
      <c r="E246" s="656">
        <f>SUM(E55+E114+E160+E201)</f>
        <v>545847</v>
      </c>
      <c r="F246" s="656">
        <f>SUM(F55+F114+F160+F201)</f>
        <v>543263</v>
      </c>
      <c r="G246" s="656">
        <f>SUM(G55+G114+G160+G201)</f>
        <v>545653</v>
      </c>
      <c r="H246" s="837">
        <f t="shared" si="3"/>
        <v>1.004399342491574</v>
      </c>
    </row>
    <row r="247" spans="1:8" s="145" customFormat="1" ht="12.75">
      <c r="A247" s="124">
        <v>1525</v>
      </c>
      <c r="B247" s="126" t="s">
        <v>238</v>
      </c>
      <c r="C247" s="656">
        <f aca="true" t="shared" si="4" ref="C247:G248">SUM(C59+C115+C161+C202)</f>
        <v>0</v>
      </c>
      <c r="D247" s="656">
        <f t="shared" si="4"/>
        <v>0</v>
      </c>
      <c r="E247" s="656">
        <f t="shared" si="4"/>
        <v>0</v>
      </c>
      <c r="F247" s="656">
        <f t="shared" si="4"/>
        <v>4902</v>
      </c>
      <c r="G247" s="656">
        <f t="shared" si="4"/>
        <v>12215</v>
      </c>
      <c r="H247" s="837">
        <f t="shared" si="3"/>
        <v>2.4918400652794777</v>
      </c>
    </row>
    <row r="248" spans="1:8" s="145" customFormat="1" ht="12.75">
      <c r="A248" s="124">
        <v>1526</v>
      </c>
      <c r="B248" s="121" t="s">
        <v>488</v>
      </c>
      <c r="C248" s="656">
        <f t="shared" si="4"/>
        <v>15005</v>
      </c>
      <c r="D248" s="656">
        <f t="shared" si="4"/>
        <v>15005</v>
      </c>
      <c r="E248" s="656">
        <f t="shared" si="4"/>
        <v>15005</v>
      </c>
      <c r="F248" s="656">
        <f t="shared" si="4"/>
        <v>15005</v>
      </c>
      <c r="G248" s="656">
        <f t="shared" si="4"/>
        <v>15032</v>
      </c>
      <c r="H248" s="837">
        <f t="shared" si="3"/>
        <v>1.0017994001999333</v>
      </c>
    </row>
    <row r="249" spans="1:8" s="145" customFormat="1" ht="13.5" thickBot="1">
      <c r="A249" s="129">
        <v>1528</v>
      </c>
      <c r="B249" s="130" t="s">
        <v>239</v>
      </c>
      <c r="C249" s="696">
        <f>SUM(C62+C117+C163+C204+C63)</f>
        <v>22000</v>
      </c>
      <c r="D249" s="696">
        <f>SUM(D62+D117+D163+D204+D63)</f>
        <v>46601</v>
      </c>
      <c r="E249" s="696">
        <f>SUM(E62+E117+E163+E204+E63)</f>
        <v>46929</v>
      </c>
      <c r="F249" s="696">
        <f>SUM(F62+F117+F163+F204+F63)</f>
        <v>51881</v>
      </c>
      <c r="G249" s="696">
        <f>SUM(G62+G117+G163+G204+G63)</f>
        <v>51368</v>
      </c>
      <c r="H249" s="848">
        <f t="shared" si="3"/>
        <v>0.9901119870472813</v>
      </c>
    </row>
    <row r="250" spans="1:8" s="145" customFormat="1" ht="13.5" thickBot="1">
      <c r="A250" s="132"/>
      <c r="B250" s="135" t="s">
        <v>366</v>
      </c>
      <c r="C250" s="694">
        <f>SUM(C241:C249)</f>
        <v>2614888</v>
      </c>
      <c r="D250" s="694">
        <f>SUM(D241:D249)</f>
        <v>2639489</v>
      </c>
      <c r="E250" s="694">
        <f>SUM(E241:E249)</f>
        <v>2639923</v>
      </c>
      <c r="F250" s="694">
        <f>SUM(F241:F249)</f>
        <v>2646623</v>
      </c>
      <c r="G250" s="694">
        <f>SUM(G241:G249)</f>
        <v>2671046</v>
      </c>
      <c r="H250" s="849">
        <f t="shared" si="3"/>
        <v>1.0092279860032956</v>
      </c>
    </row>
    <row r="251" spans="1:8" s="145" customFormat="1" ht="13.5" thickBot="1">
      <c r="A251" s="142">
        <v>1530</v>
      </c>
      <c r="B251" s="249" t="s">
        <v>240</v>
      </c>
      <c r="C251" s="697">
        <f>SUM(C66+C220)</f>
        <v>0</v>
      </c>
      <c r="D251" s="697">
        <f>SUM(D66+D220)</f>
        <v>8105</v>
      </c>
      <c r="E251" s="697">
        <f>SUM(E66+E220)</f>
        <v>8105</v>
      </c>
      <c r="F251" s="697">
        <f>SUM(F66+F220+F207)</f>
        <v>9189</v>
      </c>
      <c r="G251" s="697">
        <f>SUM(G66+G220+G207)</f>
        <v>9189</v>
      </c>
      <c r="H251" s="1254">
        <f t="shared" si="3"/>
        <v>1</v>
      </c>
    </row>
    <row r="252" spans="1:8" s="145" customFormat="1" ht="13.5" thickBot="1">
      <c r="A252" s="264"/>
      <c r="B252" s="247" t="s">
        <v>241</v>
      </c>
      <c r="C252" s="698">
        <f>SUM(C251)</f>
        <v>0</v>
      </c>
      <c r="D252" s="698">
        <f>SUM(D251)</f>
        <v>8105</v>
      </c>
      <c r="E252" s="698">
        <f>SUM(E251)</f>
        <v>8105</v>
      </c>
      <c r="F252" s="698">
        <f>SUM(F251)</f>
        <v>9189</v>
      </c>
      <c r="G252" s="698">
        <f>SUM(G251)</f>
        <v>9189</v>
      </c>
      <c r="H252" s="1200">
        <f t="shared" si="3"/>
        <v>1</v>
      </c>
    </row>
    <row r="253" spans="1:8" s="145" customFormat="1" ht="17.25" thickBot="1" thickTop="1">
      <c r="A253" s="265"/>
      <c r="B253" s="246" t="s">
        <v>72</v>
      </c>
      <c r="C253" s="699">
        <f>SUM(C236+C240+C250+C252)</f>
        <v>12944731</v>
      </c>
      <c r="D253" s="699">
        <f>SUM(D236+D240+D250+D252)</f>
        <v>13050259</v>
      </c>
      <c r="E253" s="699">
        <f>SUM(E236+E240+E250+E252)</f>
        <v>13249457</v>
      </c>
      <c r="F253" s="699">
        <f>SUM(F236+F240+F250+F252)</f>
        <v>13281259</v>
      </c>
      <c r="G253" s="699">
        <f>SUM(G236+G240+G250+G252)</f>
        <v>13313275</v>
      </c>
      <c r="H253" s="1248">
        <f t="shared" si="3"/>
        <v>1.0024106148370422</v>
      </c>
    </row>
    <row r="254" spans="1:8" s="145" customFormat="1" ht="13.5" thickTop="1">
      <c r="A254" s="125">
        <v>1540</v>
      </c>
      <c r="B254" s="126" t="s">
        <v>242</v>
      </c>
      <c r="C254" s="695">
        <f aca="true" t="shared" si="5" ref="C254:G255">SUM(C71)</f>
        <v>50000</v>
      </c>
      <c r="D254" s="695">
        <f t="shared" si="5"/>
        <v>50000</v>
      </c>
      <c r="E254" s="695">
        <f t="shared" si="5"/>
        <v>52680</v>
      </c>
      <c r="F254" s="695">
        <f t="shared" si="5"/>
        <v>52680</v>
      </c>
      <c r="G254" s="695">
        <f t="shared" si="5"/>
        <v>52680</v>
      </c>
      <c r="H254" s="1249">
        <f t="shared" si="3"/>
        <v>1</v>
      </c>
    </row>
    <row r="255" spans="1:8" s="145" customFormat="1" ht="12.75">
      <c r="A255" s="124">
        <v>1541</v>
      </c>
      <c r="B255" s="122" t="s">
        <v>473</v>
      </c>
      <c r="C255" s="656">
        <f t="shared" si="5"/>
        <v>209034</v>
      </c>
      <c r="D255" s="656">
        <f t="shared" si="5"/>
        <v>209034</v>
      </c>
      <c r="E255" s="656">
        <f t="shared" si="5"/>
        <v>209034</v>
      </c>
      <c r="F255" s="656">
        <f t="shared" si="5"/>
        <v>209034</v>
      </c>
      <c r="G255" s="656">
        <f t="shared" si="5"/>
        <v>209034</v>
      </c>
      <c r="H255" s="837">
        <f t="shared" si="3"/>
        <v>1</v>
      </c>
    </row>
    <row r="256" spans="1:8" s="145" customFormat="1" ht="12.75">
      <c r="A256" s="124">
        <v>1542</v>
      </c>
      <c r="B256" s="122" t="s">
        <v>474</v>
      </c>
      <c r="C256" s="656">
        <f>SUM(C74)</f>
        <v>250000</v>
      </c>
      <c r="D256" s="656">
        <f>SUM(D74)</f>
        <v>250000</v>
      </c>
      <c r="E256" s="656">
        <f>SUM(E74)</f>
        <v>250000</v>
      </c>
      <c r="F256" s="656">
        <f>SUM(F74)</f>
        <v>250000</v>
      </c>
      <c r="G256" s="656">
        <f>SUM(G74)</f>
        <v>0</v>
      </c>
      <c r="H256" s="837">
        <f t="shared" si="3"/>
        <v>0</v>
      </c>
    </row>
    <row r="257" spans="1:8" s="145" customFormat="1" ht="13.5" thickBot="1">
      <c r="A257" s="129">
        <v>1543</v>
      </c>
      <c r="B257" s="130" t="s">
        <v>472</v>
      </c>
      <c r="C257" s="696">
        <f>SUM(C77+C213)</f>
        <v>280000</v>
      </c>
      <c r="D257" s="696">
        <f>SUM(D77+D213)</f>
        <v>283729</v>
      </c>
      <c r="E257" s="696">
        <f>SUM(E77+E213)</f>
        <v>285614</v>
      </c>
      <c r="F257" s="696">
        <f>SUM(F77+F213)</f>
        <v>285614</v>
      </c>
      <c r="G257" s="696">
        <f>SUM(G77+G213)</f>
        <v>285614</v>
      </c>
      <c r="H257" s="848">
        <f t="shared" si="3"/>
        <v>1</v>
      </c>
    </row>
    <row r="258" spans="1:8" s="145" customFormat="1" ht="13.5" thickBot="1">
      <c r="A258" s="141"/>
      <c r="B258" s="587" t="s">
        <v>467</v>
      </c>
      <c r="C258" s="700">
        <f>SUM(C254:C257)</f>
        <v>789034</v>
      </c>
      <c r="D258" s="700">
        <f>SUM(D254:D257)</f>
        <v>792763</v>
      </c>
      <c r="E258" s="700">
        <f>SUM(E254:E257)</f>
        <v>797328</v>
      </c>
      <c r="F258" s="700">
        <f>SUM(F254:F257)</f>
        <v>797328</v>
      </c>
      <c r="G258" s="700">
        <f>SUM(G254:G257)</f>
        <v>547328</v>
      </c>
      <c r="H258" s="1246">
        <f t="shared" si="3"/>
        <v>0.6864527521923224</v>
      </c>
    </row>
    <row r="259" spans="1:8" s="145" customFormat="1" ht="12.75">
      <c r="A259" s="125">
        <v>1550</v>
      </c>
      <c r="B259" s="126" t="s">
        <v>246</v>
      </c>
      <c r="C259" s="695">
        <f>SUM(C80)</f>
        <v>2444000</v>
      </c>
      <c r="D259" s="695">
        <f>SUM(D80)</f>
        <v>2444000</v>
      </c>
      <c r="E259" s="695">
        <f>SUM(E80)</f>
        <v>2444000</v>
      </c>
      <c r="F259" s="695">
        <f>SUM(F80)</f>
        <v>1135000</v>
      </c>
      <c r="G259" s="695">
        <f>SUM(G80)</f>
        <v>986958</v>
      </c>
      <c r="H259" s="856">
        <f t="shared" si="3"/>
        <v>0.8695665198237885</v>
      </c>
    </row>
    <row r="260" spans="1:8" s="145" customFormat="1" ht="13.5" thickBot="1">
      <c r="A260" s="124">
        <v>1551</v>
      </c>
      <c r="B260" s="122" t="s">
        <v>257</v>
      </c>
      <c r="C260" s="656">
        <f>SUM(C216+C174+C129)</f>
        <v>0</v>
      </c>
      <c r="D260" s="656">
        <f>SUM(D216+D174+D129)</f>
        <v>0</v>
      </c>
      <c r="E260" s="656">
        <f>SUM(E216+E174+E129)</f>
        <v>0</v>
      </c>
      <c r="F260" s="656">
        <f>SUM(F216+F174+F129)</f>
        <v>0</v>
      </c>
      <c r="G260" s="656">
        <f>SUM(G216+G174+G129)</f>
        <v>0</v>
      </c>
      <c r="H260" s="839"/>
    </row>
    <row r="261" spans="1:8" s="145" customFormat="1" ht="13.5" thickBot="1">
      <c r="A261" s="132"/>
      <c r="B261" s="135" t="s">
        <v>247</v>
      </c>
      <c r="C261" s="694">
        <f>SUM(C259:C260)</f>
        <v>2444000</v>
      </c>
      <c r="D261" s="694">
        <f>SUM(D259:D260)</f>
        <v>2444000</v>
      </c>
      <c r="E261" s="694">
        <f>SUM(E259:E260)</f>
        <v>2444000</v>
      </c>
      <c r="F261" s="694">
        <f>SUM(F259:F260)</f>
        <v>1135000</v>
      </c>
      <c r="G261" s="694">
        <f>SUM(G259:G260)</f>
        <v>986958</v>
      </c>
      <c r="H261" s="1246">
        <f t="shared" si="3"/>
        <v>0.8695665198237885</v>
      </c>
    </row>
    <row r="262" spans="1:8" s="145" customFormat="1" ht="12.75">
      <c r="A262" s="125">
        <v>1560</v>
      </c>
      <c r="B262" s="138" t="s">
        <v>475</v>
      </c>
      <c r="C262" s="695">
        <f>SUM(C85+C133)</f>
        <v>23000</v>
      </c>
      <c r="D262" s="695">
        <f>SUM(D85+D133)</f>
        <v>23000</v>
      </c>
      <c r="E262" s="695">
        <f>SUM(E85+E133)</f>
        <v>23000</v>
      </c>
      <c r="F262" s="695">
        <f>SUM(F85+F133)</f>
        <v>23000</v>
      </c>
      <c r="G262" s="695">
        <f>SUM(G85+G133)</f>
        <v>22537</v>
      </c>
      <c r="H262" s="856">
        <f t="shared" si="3"/>
        <v>0.9798695652173913</v>
      </c>
    </row>
    <row r="263" spans="1:8" s="145" customFormat="1" ht="12.75">
      <c r="A263" s="215">
        <v>1561</v>
      </c>
      <c r="B263" s="128" t="s">
        <v>254</v>
      </c>
      <c r="C263" s="702">
        <f>SUM(C88)</f>
        <v>235000</v>
      </c>
      <c r="D263" s="702">
        <f>SUM(D88)</f>
        <v>235000</v>
      </c>
      <c r="E263" s="702">
        <f>SUM(E88)</f>
        <v>235000</v>
      </c>
      <c r="F263" s="702">
        <f>SUM(F88)</f>
        <v>235000</v>
      </c>
      <c r="G263" s="702">
        <f>SUM(G88)</f>
        <v>235000</v>
      </c>
      <c r="H263" s="837">
        <f t="shared" si="3"/>
        <v>1</v>
      </c>
    </row>
    <row r="264" spans="1:8" s="145" customFormat="1" ht="13.5" thickBot="1">
      <c r="A264" s="566">
        <v>1562</v>
      </c>
      <c r="B264" s="567" t="s">
        <v>394</v>
      </c>
      <c r="C264" s="696">
        <f>C89</f>
        <v>0</v>
      </c>
      <c r="D264" s="696">
        <f>D89</f>
        <v>0</v>
      </c>
      <c r="E264" s="696">
        <f>E89</f>
        <v>0</v>
      </c>
      <c r="F264" s="696">
        <f>F89</f>
        <v>0</v>
      </c>
      <c r="G264" s="696">
        <f>G89</f>
        <v>99520</v>
      </c>
      <c r="H264" s="839"/>
    </row>
    <row r="265" spans="1:8" s="145" customFormat="1" ht="13.5" thickBot="1">
      <c r="A265" s="266"/>
      <c r="B265" s="245" t="s">
        <v>255</v>
      </c>
      <c r="C265" s="699">
        <f>SUM(C262:C264)</f>
        <v>258000</v>
      </c>
      <c r="D265" s="699">
        <f>SUM(D262:D264)</f>
        <v>258000</v>
      </c>
      <c r="E265" s="699">
        <f>SUM(E262:E264)</f>
        <v>258000</v>
      </c>
      <c r="F265" s="699">
        <f>SUM(F262:F264)</f>
        <v>258000</v>
      </c>
      <c r="G265" s="699">
        <f>SUM(G262:G264)</f>
        <v>357057</v>
      </c>
      <c r="H265" s="1250">
        <f t="shared" si="3"/>
        <v>1.3839418604651164</v>
      </c>
    </row>
    <row r="266" spans="1:8" s="145" customFormat="1" ht="17.25" thickBot="1" thickTop="1">
      <c r="A266" s="265"/>
      <c r="B266" s="248" t="s">
        <v>73</v>
      </c>
      <c r="C266" s="703">
        <f>SUM(C258+C261+C265)</f>
        <v>3491034</v>
      </c>
      <c r="D266" s="703">
        <f>SUM(D258+D261+D265)</f>
        <v>3494763</v>
      </c>
      <c r="E266" s="703">
        <f>SUM(E258+E261+E265)</f>
        <v>3499328</v>
      </c>
      <c r="F266" s="703">
        <f>SUM(F258+F261+F265)</f>
        <v>2190328</v>
      </c>
      <c r="G266" s="703">
        <f>SUM(G258+G261+G265)</f>
        <v>1891343</v>
      </c>
      <c r="H266" s="1248">
        <f t="shared" si="3"/>
        <v>0.8634976131428718</v>
      </c>
    </row>
    <row r="267" spans="1:8" s="145" customFormat="1" ht="13.5" thickTop="1">
      <c r="A267" s="125">
        <v>1570</v>
      </c>
      <c r="B267" s="126" t="s">
        <v>470</v>
      </c>
      <c r="C267" s="695">
        <f>SUM(C180+C136+C94+C222)</f>
        <v>108360</v>
      </c>
      <c r="D267" s="695">
        <f>SUM(D180+D136+D94+D222)</f>
        <v>3582547</v>
      </c>
      <c r="E267" s="695">
        <f>SUM(E180+E136+E94+E222)</f>
        <v>3582547</v>
      </c>
      <c r="F267" s="695">
        <f>SUM(F180+F136+F94+F222)</f>
        <v>3582547</v>
      </c>
      <c r="G267" s="695">
        <f>SUM(G180+G136+G94+G222)</f>
        <v>3582547</v>
      </c>
      <c r="H267" s="856">
        <f aca="true" t="shared" si="6" ref="H267:H275">SUM(G267/F267)</f>
        <v>1</v>
      </c>
    </row>
    <row r="268" spans="1:8" s="145" customFormat="1" ht="12.75">
      <c r="A268" s="124">
        <v>1571</v>
      </c>
      <c r="B268" s="122" t="s">
        <v>507</v>
      </c>
      <c r="C268" s="656">
        <f>SUM(C223+C181+C137)</f>
        <v>6578909</v>
      </c>
      <c r="D268" s="656">
        <f>SUM(D223+D181+D137)</f>
        <v>6640351</v>
      </c>
      <c r="E268" s="656">
        <f>SUM(E223+E181+E137)</f>
        <v>6700279</v>
      </c>
      <c r="F268" s="656">
        <f>SUM(F223+F181+F137)</f>
        <v>6713096</v>
      </c>
      <c r="G268" s="656">
        <f>SUM(G223+G181+G137)</f>
        <v>6714043</v>
      </c>
      <c r="H268" s="837">
        <f t="shared" si="6"/>
        <v>1.0001410675491607</v>
      </c>
    </row>
    <row r="269" spans="1:8" s="145" customFormat="1" ht="12.75">
      <c r="A269" s="124">
        <v>1572</v>
      </c>
      <c r="B269" s="122" t="s">
        <v>452</v>
      </c>
      <c r="C269" s="656">
        <v>2000000</v>
      </c>
      <c r="D269" s="656">
        <v>2000000</v>
      </c>
      <c r="E269" s="656">
        <v>2000000</v>
      </c>
      <c r="F269" s="656">
        <v>2000000</v>
      </c>
      <c r="G269" s="656">
        <v>2000000</v>
      </c>
      <c r="H269" s="837">
        <f t="shared" si="6"/>
        <v>1</v>
      </c>
    </row>
    <row r="270" spans="1:8" s="145" customFormat="1" ht="12.75">
      <c r="A270" s="124">
        <v>1573</v>
      </c>
      <c r="B270" s="122" t="s">
        <v>485</v>
      </c>
      <c r="C270" s="656"/>
      <c r="D270" s="656">
        <f>SUM(D182)</f>
        <v>474</v>
      </c>
      <c r="E270" s="656">
        <f>SUM(E182)</f>
        <v>474</v>
      </c>
      <c r="F270" s="656">
        <f>SUM(F182)</f>
        <v>474</v>
      </c>
      <c r="G270" s="656">
        <f>SUM(G182)</f>
        <v>474</v>
      </c>
      <c r="H270" s="837">
        <f t="shared" si="6"/>
        <v>1</v>
      </c>
    </row>
    <row r="271" spans="1:8" s="145" customFormat="1" ht="13.5" thickBot="1">
      <c r="A271" s="140">
        <v>1574</v>
      </c>
      <c r="B271" s="147" t="s">
        <v>489</v>
      </c>
      <c r="C271" s="701"/>
      <c r="D271" s="701"/>
      <c r="E271" s="701"/>
      <c r="F271" s="701"/>
      <c r="G271" s="701">
        <f>SUM(G96)</f>
        <v>42784</v>
      </c>
      <c r="H271" s="839"/>
    </row>
    <row r="272" spans="1:8" s="145" customFormat="1" ht="15" thickBot="1">
      <c r="A272" s="132"/>
      <c r="B272" s="263" t="s">
        <v>66</v>
      </c>
      <c r="C272" s="694">
        <f>SUM(C267:C270)</f>
        <v>8687269</v>
      </c>
      <c r="D272" s="694">
        <f>SUM(D267:D270)</f>
        <v>12223372</v>
      </c>
      <c r="E272" s="694">
        <f>SUM(E267:E270)</f>
        <v>12283300</v>
      </c>
      <c r="F272" s="694">
        <f>SUM(F267:F270)</f>
        <v>12296117</v>
      </c>
      <c r="G272" s="694">
        <f>SUM(G267:G271)</f>
        <v>12339848</v>
      </c>
      <c r="H272" s="1246">
        <f t="shared" si="6"/>
        <v>1.0035564886053052</v>
      </c>
    </row>
    <row r="273" spans="1:8" s="145" customFormat="1" ht="12" customHeight="1" thickBot="1">
      <c r="A273" s="124">
        <v>1581</v>
      </c>
      <c r="B273" s="122" t="s">
        <v>470</v>
      </c>
      <c r="C273" s="656">
        <f>SUM(C99+C140+C185+C226)</f>
        <v>2130468</v>
      </c>
      <c r="D273" s="656">
        <f>SUM(D99+D140+D185+D227)</f>
        <v>2744866</v>
      </c>
      <c r="E273" s="656">
        <f>SUM(E99+E140+E185+E227)</f>
        <v>2744866</v>
      </c>
      <c r="F273" s="656">
        <f>SUM(F99+F140+F185+F227)</f>
        <v>2744866</v>
      </c>
      <c r="G273" s="656">
        <f>SUM(G99+G140+G185+G227)</f>
        <v>2744866</v>
      </c>
      <c r="H273" s="856">
        <f t="shared" si="6"/>
        <v>1</v>
      </c>
    </row>
    <row r="274" spans="1:8" s="145" customFormat="1" ht="13.5" thickBot="1">
      <c r="A274" s="132"/>
      <c r="B274" s="176" t="s">
        <v>256</v>
      </c>
      <c r="C274" s="694">
        <f>SUM(C273:C273)</f>
        <v>2130468</v>
      </c>
      <c r="D274" s="694">
        <f>SUM(D273:D273)</f>
        <v>2744866</v>
      </c>
      <c r="E274" s="694">
        <f>SUM(E273:E273)</f>
        <v>2744866</v>
      </c>
      <c r="F274" s="694">
        <f>SUM(F273:F273)</f>
        <v>2744866</v>
      </c>
      <c r="G274" s="694">
        <f>SUM(G273:G273)</f>
        <v>2744866</v>
      </c>
      <c r="H274" s="839">
        <f t="shared" si="6"/>
        <v>1</v>
      </c>
    </row>
    <row r="275" spans="1:9" s="145" customFormat="1" ht="18.75" customHeight="1" thickBot="1">
      <c r="A275" s="132"/>
      <c r="B275" s="184" t="s">
        <v>438</v>
      </c>
      <c r="C275" s="704">
        <f>SUM(C253+C266+C273+C267+C269+C270)</f>
        <v>20674593</v>
      </c>
      <c r="D275" s="704">
        <f>SUM(D253+D266+D273+D267+D269+D270)</f>
        <v>24872909</v>
      </c>
      <c r="E275" s="704">
        <f>SUM(E253+E266+E273+E267+E269+E270)</f>
        <v>25076672</v>
      </c>
      <c r="F275" s="704">
        <f>SUM(F253+F266+F273+F267+F269+F270)</f>
        <v>23799474</v>
      </c>
      <c r="G275" s="704">
        <f>SUM(G253+G266+G273+G267+G269+G270+G271)</f>
        <v>23575289</v>
      </c>
      <c r="H275" s="1251">
        <f t="shared" si="6"/>
        <v>0.9905802540005716</v>
      </c>
      <c r="I275" s="297"/>
    </row>
  </sheetData>
  <sheetProtection/>
  <mergeCells count="10">
    <mergeCell ref="A2:H2"/>
    <mergeCell ref="A1:H1"/>
    <mergeCell ref="H5:H6"/>
    <mergeCell ref="B5:B6"/>
    <mergeCell ref="A5:A6"/>
    <mergeCell ref="C5:C6"/>
    <mergeCell ref="D5:D6"/>
    <mergeCell ref="E5:E6"/>
    <mergeCell ref="F5:F6"/>
    <mergeCell ref="G5:G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6" max="255" man="1"/>
    <brk id="88" max="255" man="1"/>
    <brk id="130" max="255" man="1"/>
    <brk id="17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C27" sqref="C27:C29"/>
    </sheetView>
  </sheetViews>
  <sheetFormatPr defaultColWidth="9.00390625" defaultRowHeight="12.75"/>
  <cols>
    <col min="1" max="1" width="9.125" style="1062" customWidth="1"/>
    <col min="2" max="2" width="31.875" style="1062" customWidth="1"/>
    <col min="3" max="3" width="13.875" style="1062" customWidth="1"/>
    <col min="4" max="4" width="12.875" style="1062" customWidth="1"/>
    <col min="5" max="5" width="13.125" style="1062" customWidth="1"/>
    <col min="6" max="6" width="13.875" style="1062" customWidth="1"/>
    <col min="7" max="16384" width="9.125" style="1062" customWidth="1"/>
  </cols>
  <sheetData>
    <row r="2" spans="2:6" ht="12.75">
      <c r="B2" s="1517" t="s">
        <v>863</v>
      </c>
      <c r="C2" s="1312"/>
      <c r="D2" s="1312"/>
      <c r="E2" s="1312"/>
      <c r="F2" s="1312"/>
    </row>
    <row r="3" spans="2:6" ht="12.75">
      <c r="B3" s="1518" t="s">
        <v>864</v>
      </c>
      <c r="C3" s="1519"/>
      <c r="D3" s="1519"/>
      <c r="E3" s="1519"/>
      <c r="F3" s="1519"/>
    </row>
    <row r="4" spans="2:6" ht="12.75">
      <c r="B4" s="1519"/>
      <c r="C4" s="1519"/>
      <c r="D4" s="1519"/>
      <c r="E4" s="1519"/>
      <c r="F4" s="1519"/>
    </row>
    <row r="5" spans="2:6" ht="12.75">
      <c r="B5" s="1063"/>
      <c r="C5" s="1063"/>
      <c r="D5" s="1063"/>
      <c r="E5" s="1063"/>
      <c r="F5" s="1063"/>
    </row>
    <row r="6" ht="12.75">
      <c r="F6" s="1064" t="s">
        <v>385</v>
      </c>
    </row>
    <row r="7" spans="2:6" ht="12.75" customHeight="1">
      <c r="B7" s="1520" t="s">
        <v>865</v>
      </c>
      <c r="C7" s="1521" t="s">
        <v>1098</v>
      </c>
      <c r="D7" s="1521" t="s">
        <v>866</v>
      </c>
      <c r="E7" s="1521" t="s">
        <v>867</v>
      </c>
      <c r="F7" s="1521" t="s">
        <v>1099</v>
      </c>
    </row>
    <row r="8" spans="2:6" ht="30.75" customHeight="1">
      <c r="B8" s="1520"/>
      <c r="C8" s="1521"/>
      <c r="D8" s="1521"/>
      <c r="E8" s="1521"/>
      <c r="F8" s="1521"/>
    </row>
    <row r="9" spans="2:6" ht="12.75" customHeight="1">
      <c r="B9" s="1512" t="s">
        <v>868</v>
      </c>
      <c r="C9" s="1513">
        <v>8059284</v>
      </c>
      <c r="D9" s="1513">
        <v>8059284</v>
      </c>
      <c r="E9" s="1513">
        <v>8059284</v>
      </c>
      <c r="F9" s="1513">
        <v>8059284</v>
      </c>
    </row>
    <row r="10" spans="2:6" ht="12.75" customHeight="1">
      <c r="B10" s="1512"/>
      <c r="C10" s="1513"/>
      <c r="D10" s="1513"/>
      <c r="E10" s="1513"/>
      <c r="F10" s="1513"/>
    </row>
    <row r="11" spans="2:6" ht="27" customHeight="1">
      <c r="B11" s="1512"/>
      <c r="C11" s="1513"/>
      <c r="D11" s="1513"/>
      <c r="E11" s="1513"/>
      <c r="F11" s="1513"/>
    </row>
    <row r="12" spans="2:6" ht="12.75">
      <c r="B12" s="1512" t="s">
        <v>869</v>
      </c>
      <c r="C12" s="1513">
        <v>573000</v>
      </c>
      <c r="D12" s="1513">
        <v>573000</v>
      </c>
      <c r="E12" s="1513">
        <v>573000</v>
      </c>
      <c r="F12" s="1513">
        <v>573000</v>
      </c>
    </row>
    <row r="13" spans="2:6" ht="12.75">
      <c r="B13" s="1512"/>
      <c r="C13" s="1513"/>
      <c r="D13" s="1513"/>
      <c r="E13" s="1513"/>
      <c r="F13" s="1513"/>
    </row>
    <row r="14" spans="2:6" ht="60" customHeight="1">
      <c r="B14" s="1512"/>
      <c r="C14" s="1513"/>
      <c r="D14" s="1513"/>
      <c r="E14" s="1513"/>
      <c r="F14" s="1513"/>
    </row>
    <row r="15" spans="2:6" ht="12.75" customHeight="1">
      <c r="B15" s="1512" t="s">
        <v>870</v>
      </c>
      <c r="C15" s="1514" t="s">
        <v>871</v>
      </c>
      <c r="D15" s="1514" t="s">
        <v>871</v>
      </c>
      <c r="E15" s="1514" t="s">
        <v>871</v>
      </c>
      <c r="F15" s="1514" t="s">
        <v>871</v>
      </c>
    </row>
    <row r="16" spans="2:6" ht="12.75" customHeight="1">
      <c r="B16" s="1512"/>
      <c r="C16" s="1515"/>
      <c r="D16" s="1515"/>
      <c r="E16" s="1515"/>
      <c r="F16" s="1515"/>
    </row>
    <row r="17" spans="2:6" ht="27" customHeight="1">
      <c r="B17" s="1512"/>
      <c r="C17" s="1516"/>
      <c r="D17" s="1516"/>
      <c r="E17" s="1516"/>
      <c r="F17" s="1516"/>
    </row>
    <row r="18" spans="2:6" ht="12.75" customHeight="1">
      <c r="B18" s="1512" t="s">
        <v>872</v>
      </c>
      <c r="C18" s="1513">
        <v>2444000</v>
      </c>
      <c r="D18" s="1513">
        <v>2444000</v>
      </c>
      <c r="E18" s="1513">
        <v>2444000</v>
      </c>
      <c r="F18" s="1513">
        <v>2444000</v>
      </c>
    </row>
    <row r="19" spans="2:6" ht="15.75" customHeight="1">
      <c r="B19" s="1512"/>
      <c r="C19" s="1513"/>
      <c r="D19" s="1513"/>
      <c r="E19" s="1513"/>
      <c r="F19" s="1513"/>
    </row>
    <row r="20" spans="2:6" ht="43.5" customHeight="1">
      <c r="B20" s="1512"/>
      <c r="C20" s="1513"/>
      <c r="D20" s="1513"/>
      <c r="E20" s="1513"/>
      <c r="F20" s="1513"/>
    </row>
    <row r="21" spans="2:6" ht="12.75" customHeight="1">
      <c r="B21" s="1512" t="s">
        <v>873</v>
      </c>
      <c r="C21" s="1513">
        <v>318560</v>
      </c>
      <c r="D21" s="1513">
        <v>318560</v>
      </c>
      <c r="E21" s="1513">
        <v>318560</v>
      </c>
      <c r="F21" s="1513">
        <v>318560</v>
      </c>
    </row>
    <row r="22" spans="2:6" ht="12.75" customHeight="1">
      <c r="B22" s="1512"/>
      <c r="C22" s="1513"/>
      <c r="D22" s="1513"/>
      <c r="E22" s="1513"/>
      <c r="F22" s="1513"/>
    </row>
    <row r="23" spans="2:6" ht="27" customHeight="1">
      <c r="B23" s="1512"/>
      <c r="C23" s="1513"/>
      <c r="D23" s="1513"/>
      <c r="E23" s="1513"/>
      <c r="F23" s="1513"/>
    </row>
    <row r="24" spans="2:6" ht="12.75" customHeight="1">
      <c r="B24" s="1512" t="s">
        <v>874</v>
      </c>
      <c r="C24" s="1514" t="s">
        <v>871</v>
      </c>
      <c r="D24" s="1514" t="s">
        <v>871</v>
      </c>
      <c r="E24" s="1514" t="s">
        <v>871</v>
      </c>
      <c r="F24" s="1514" t="s">
        <v>871</v>
      </c>
    </row>
    <row r="25" spans="2:6" ht="12.75" customHeight="1">
      <c r="B25" s="1512"/>
      <c r="C25" s="1515"/>
      <c r="D25" s="1515"/>
      <c r="E25" s="1515"/>
      <c r="F25" s="1515"/>
    </row>
    <row r="26" spans="2:6" ht="27" customHeight="1">
      <c r="B26" s="1512"/>
      <c r="C26" s="1516"/>
      <c r="D26" s="1516"/>
      <c r="E26" s="1516"/>
      <c r="F26" s="1516"/>
    </row>
    <row r="27" spans="2:6" ht="12.75" customHeight="1">
      <c r="B27" s="1506" t="s">
        <v>186</v>
      </c>
      <c r="C27" s="1508">
        <f>SUM(C9:C26)</f>
        <v>11394844</v>
      </c>
      <c r="D27" s="1508">
        <f>SUM(D9:D26)</f>
        <v>11394844</v>
      </c>
      <c r="E27" s="1508">
        <f>SUM(E9:E26)</f>
        <v>11394844</v>
      </c>
      <c r="F27" s="1508">
        <f>SUM(F9:F26)</f>
        <v>11394844</v>
      </c>
    </row>
    <row r="28" spans="2:6" ht="12.75" customHeight="1">
      <c r="B28" s="1506"/>
      <c r="C28" s="1508"/>
      <c r="D28" s="1508"/>
      <c r="E28" s="1508"/>
      <c r="F28" s="1508"/>
    </row>
    <row r="29" spans="2:6" ht="27.75" customHeight="1" thickBot="1">
      <c r="B29" s="1507"/>
      <c r="C29" s="1509"/>
      <c r="D29" s="1509"/>
      <c r="E29" s="1509"/>
      <c r="F29" s="1509"/>
    </row>
    <row r="30" spans="2:6" ht="21" customHeight="1" thickTop="1">
      <c r="B30" s="1510" t="s">
        <v>875</v>
      </c>
      <c r="C30" s="1511">
        <v>49591</v>
      </c>
      <c r="D30" s="1511">
        <v>49331</v>
      </c>
      <c r="E30" s="1511">
        <v>49075</v>
      </c>
      <c r="F30" s="1511">
        <v>48812</v>
      </c>
    </row>
    <row r="31" spans="1:6" ht="18.75" customHeight="1">
      <c r="A31" s="1065"/>
      <c r="B31" s="1506"/>
      <c r="C31" s="1508"/>
      <c r="D31" s="1508"/>
      <c r="E31" s="1508"/>
      <c r="F31" s="1508"/>
    </row>
    <row r="32" spans="2:6" ht="18.75" customHeight="1" thickBot="1">
      <c r="B32" s="1507"/>
      <c r="C32" s="1509"/>
      <c r="D32" s="1509"/>
      <c r="E32" s="1509"/>
      <c r="F32" s="1509"/>
    </row>
    <row r="33" ht="13.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</mergeCells>
  <printOptions/>
  <pageMargins left="0.5905511811023623" right="0.7874015748031497" top="0.984251968503937" bottom="0.984251968503937" header="0.5118110236220472" footer="0.5118110236220472"/>
  <pageSetup firstPageNumber="63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373">
      <selection activeCell="G97" sqref="G97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8.875" style="0" bestFit="1" customWidth="1"/>
  </cols>
  <sheetData>
    <row r="1" spans="1:6" ht="12.75">
      <c r="A1" s="1559" t="s">
        <v>876</v>
      </c>
      <c r="B1" s="1559"/>
      <c r="C1" s="1559"/>
      <c r="D1" s="1559"/>
      <c r="E1" s="1559"/>
      <c r="F1" s="1559"/>
    </row>
    <row r="2" spans="1:6" ht="12.75">
      <c r="A2" s="1559" t="s">
        <v>877</v>
      </c>
      <c r="B2" s="1559"/>
      <c r="C2" s="1559"/>
      <c r="D2" s="1559"/>
      <c r="E2" s="1559"/>
      <c r="F2" s="1559"/>
    </row>
    <row r="3" spans="1:6" ht="12.75">
      <c r="A3" s="1559" t="s">
        <v>1081</v>
      </c>
      <c r="B3" s="1559"/>
      <c r="C3" s="1559"/>
      <c r="D3" s="1559"/>
      <c r="E3" s="1559"/>
      <c r="F3" s="1559"/>
    </row>
    <row r="4" ht="12.75">
      <c r="F4" s="1066" t="s">
        <v>385</v>
      </c>
    </row>
    <row r="5" spans="1:7" ht="15">
      <c r="A5" s="1530" t="s">
        <v>878</v>
      </c>
      <c r="B5" s="1556" t="s">
        <v>879</v>
      </c>
      <c r="C5" s="1556"/>
      <c r="D5" s="1556"/>
      <c r="E5" s="1556"/>
      <c r="F5" s="1560">
        <f>SUM(F8:F22)</f>
        <v>2951478</v>
      </c>
      <c r="G5" s="1067"/>
    </row>
    <row r="6" spans="1:7" ht="15">
      <c r="A6" s="1530"/>
      <c r="B6" s="1556"/>
      <c r="C6" s="1556"/>
      <c r="D6" s="1556"/>
      <c r="E6" s="1556"/>
      <c r="F6" s="1561"/>
      <c r="G6" s="1067"/>
    </row>
    <row r="7" spans="1:7" ht="15">
      <c r="A7" s="1530"/>
      <c r="B7" s="1556"/>
      <c r="C7" s="1556"/>
      <c r="D7" s="1556"/>
      <c r="E7" s="1556"/>
      <c r="F7" s="1562"/>
      <c r="G7" s="1067"/>
    </row>
    <row r="8" spans="1:7" ht="15">
      <c r="A8" s="1526">
        <v>3125</v>
      </c>
      <c r="B8" s="1526"/>
      <c r="C8" s="1527" t="s">
        <v>818</v>
      </c>
      <c r="D8" s="1528"/>
      <c r="E8" s="1529"/>
      <c r="F8" s="1071">
        <f>SUM('3c.m.'!G135)</f>
        <v>23375</v>
      </c>
      <c r="G8" s="1067"/>
    </row>
    <row r="9" spans="1:7" ht="15">
      <c r="A9" s="1526">
        <v>3200</v>
      </c>
      <c r="B9" s="1526"/>
      <c r="C9" s="1527" t="s">
        <v>457</v>
      </c>
      <c r="D9" s="1528"/>
      <c r="E9" s="1529"/>
      <c r="F9" s="1109">
        <f>SUM('3c.m.'!G195)</f>
        <v>121779</v>
      </c>
      <c r="G9" s="1072"/>
    </row>
    <row r="10" spans="1:7" ht="15">
      <c r="A10" s="1526">
        <v>3201</v>
      </c>
      <c r="B10" s="1526"/>
      <c r="C10" s="1527" t="s">
        <v>374</v>
      </c>
      <c r="D10" s="1528"/>
      <c r="E10" s="1529"/>
      <c r="F10" s="1109">
        <f>SUM('3c.m.'!G203)</f>
        <v>138167</v>
      </c>
      <c r="G10" s="1072"/>
    </row>
    <row r="11" spans="1:7" ht="15">
      <c r="A11" s="1525">
        <v>3208</v>
      </c>
      <c r="B11" s="1525"/>
      <c r="C11" s="1522" t="s">
        <v>200</v>
      </c>
      <c r="D11" s="1523"/>
      <c r="E11" s="1524"/>
      <c r="F11" s="1109">
        <f>SUM('3c.m.'!G253)</f>
        <v>77939</v>
      </c>
      <c r="G11" s="1072"/>
    </row>
    <row r="12" spans="1:8" ht="15">
      <c r="A12" s="1525">
        <v>3209</v>
      </c>
      <c r="B12" s="1525"/>
      <c r="C12" s="1522" t="s">
        <v>83</v>
      </c>
      <c r="D12" s="1523"/>
      <c r="E12" s="1524"/>
      <c r="F12" s="1109">
        <f>SUM('3c.m.'!G262)</f>
        <v>10000</v>
      </c>
      <c r="G12" s="1067"/>
      <c r="H12" s="59"/>
    </row>
    <row r="13" spans="1:7" ht="15">
      <c r="A13" s="1525">
        <v>3223</v>
      </c>
      <c r="B13" s="1525"/>
      <c r="C13" s="1522" t="s">
        <v>86</v>
      </c>
      <c r="D13" s="1523"/>
      <c r="E13" s="1524"/>
      <c r="F13" s="1109">
        <f>SUM('3c.m.'!G321)</f>
        <v>19103</v>
      </c>
      <c r="G13" s="1067"/>
    </row>
    <row r="14" spans="1:7" ht="15">
      <c r="A14" s="1525">
        <v>3000</v>
      </c>
      <c r="B14" s="1525"/>
      <c r="C14" s="1522" t="s">
        <v>880</v>
      </c>
      <c r="D14" s="1523"/>
      <c r="E14" s="1524"/>
      <c r="F14" s="1109">
        <f>SUM('3a.m.'!G65)</f>
        <v>2144085</v>
      </c>
      <c r="G14" s="1067"/>
    </row>
    <row r="15" spans="1:7" ht="15">
      <c r="A15" s="1525">
        <v>5044</v>
      </c>
      <c r="B15" s="1525"/>
      <c r="C15" s="1138" t="s">
        <v>451</v>
      </c>
      <c r="D15" s="1074"/>
      <c r="E15" s="1075"/>
      <c r="F15" s="1109">
        <f>SUM('5.mell. '!G36)</f>
        <v>594</v>
      </c>
      <c r="G15" s="1067"/>
    </row>
    <row r="16" spans="1:7" ht="15">
      <c r="A16" s="1525">
        <v>5045</v>
      </c>
      <c r="B16" s="1525"/>
      <c r="C16" s="1073" t="s">
        <v>1137</v>
      </c>
      <c r="D16" s="1074"/>
      <c r="E16" s="1075"/>
      <c r="F16" s="1109">
        <f>SUM('5.mell. '!G37)</f>
        <v>6105</v>
      </c>
      <c r="G16" s="1067"/>
    </row>
    <row r="17" spans="1:7" ht="15">
      <c r="A17" s="1525">
        <v>5046</v>
      </c>
      <c r="B17" s="1525"/>
      <c r="C17" s="1073" t="s">
        <v>1150</v>
      </c>
      <c r="D17" s="1074"/>
      <c r="E17" s="1075"/>
      <c r="F17" s="1109">
        <f>SUM('5.mell. '!G41)</f>
        <v>4277</v>
      </c>
      <c r="G17" s="1067"/>
    </row>
    <row r="18" spans="1:7" ht="15">
      <c r="A18" s="1525">
        <v>1801</v>
      </c>
      <c r="B18" s="1525"/>
      <c r="C18" s="1522" t="s">
        <v>881</v>
      </c>
      <c r="D18" s="1523"/>
      <c r="E18" s="1524"/>
      <c r="F18" s="1109">
        <f>SUM('1c.mell '!G74)</f>
        <v>30004</v>
      </c>
      <c r="G18" s="1067"/>
    </row>
    <row r="19" spans="1:7" ht="15">
      <c r="A19" s="1525">
        <v>1802</v>
      </c>
      <c r="B19" s="1525"/>
      <c r="C19" s="1522" t="s">
        <v>1192</v>
      </c>
      <c r="D19" s="1523"/>
      <c r="E19" s="1524"/>
      <c r="F19" s="1109">
        <f>SUM('1c.mell '!G76)</f>
        <v>6526</v>
      </c>
      <c r="G19" s="1067"/>
    </row>
    <row r="20" spans="1:7" ht="15">
      <c r="A20" s="1525">
        <v>1806</v>
      </c>
      <c r="B20" s="1525"/>
      <c r="C20" s="1073" t="s">
        <v>1151</v>
      </c>
      <c r="D20" s="1074"/>
      <c r="E20" s="1075"/>
      <c r="F20" s="1109">
        <f>SUM('1c.mell '!G82)</f>
        <v>34940</v>
      </c>
      <c r="G20" s="1067"/>
    </row>
    <row r="21" spans="1:7" ht="15">
      <c r="A21" s="1525">
        <v>1843</v>
      </c>
      <c r="B21" s="1525"/>
      <c r="C21" s="1522" t="s">
        <v>489</v>
      </c>
      <c r="D21" s="1523"/>
      <c r="E21" s="1524"/>
      <c r="F21" s="1109">
        <f>SUM('1c.mell '!G104)</f>
        <v>87184</v>
      </c>
      <c r="G21" s="1067"/>
    </row>
    <row r="22" spans="1:7" ht="15">
      <c r="A22" s="1525">
        <v>1804</v>
      </c>
      <c r="B22" s="1525"/>
      <c r="C22" s="1522" t="s">
        <v>882</v>
      </c>
      <c r="D22" s="1523"/>
      <c r="E22" s="1524"/>
      <c r="F22" s="1109">
        <f>SUM('1c.mell '!G80)</f>
        <v>247400</v>
      </c>
      <c r="G22" s="1067"/>
    </row>
    <row r="23" spans="1:7" ht="15">
      <c r="A23" s="1530" t="s">
        <v>883</v>
      </c>
      <c r="B23" s="1556" t="s">
        <v>884</v>
      </c>
      <c r="C23" s="1556"/>
      <c r="D23" s="1556"/>
      <c r="E23" s="1556"/>
      <c r="F23" s="1551">
        <f>SUM(F26:F70)</f>
        <v>6599504</v>
      </c>
      <c r="G23" s="1067"/>
    </row>
    <row r="24" spans="1:7" ht="15">
      <c r="A24" s="1530"/>
      <c r="B24" s="1556"/>
      <c r="C24" s="1556"/>
      <c r="D24" s="1556"/>
      <c r="E24" s="1556"/>
      <c r="F24" s="1552"/>
      <c r="G24" s="1067"/>
    </row>
    <row r="25" spans="1:7" ht="15">
      <c r="A25" s="1539"/>
      <c r="B25" s="1556"/>
      <c r="C25" s="1556"/>
      <c r="D25" s="1556"/>
      <c r="E25" s="1556"/>
      <c r="F25" s="1553"/>
      <c r="G25" s="1067"/>
    </row>
    <row r="26" spans="1:7" ht="15">
      <c r="A26" s="1525">
        <v>3054</v>
      </c>
      <c r="B26" s="1525"/>
      <c r="C26" s="1522" t="s">
        <v>250</v>
      </c>
      <c r="D26" s="1523"/>
      <c r="E26" s="1524"/>
      <c r="F26" s="1110">
        <f>SUM('3c.m.'!G25)</f>
        <v>3000</v>
      </c>
      <c r="G26" s="1067"/>
    </row>
    <row r="27" spans="1:7" ht="15">
      <c r="A27" s="1525">
        <v>3055</v>
      </c>
      <c r="B27" s="1525"/>
      <c r="C27" s="1139" t="s">
        <v>1138</v>
      </c>
      <c r="D27" s="1074"/>
      <c r="E27" s="1075"/>
      <c r="F27" s="1110">
        <f>SUM('3c.m.'!G33)</f>
        <v>15000</v>
      </c>
      <c r="G27" s="1067"/>
    </row>
    <row r="28" spans="1:7" ht="15">
      <c r="A28" s="1525">
        <v>3111</v>
      </c>
      <c r="B28" s="1525"/>
      <c r="C28" s="1522" t="s">
        <v>166</v>
      </c>
      <c r="D28" s="1523"/>
      <c r="E28" s="1524"/>
      <c r="F28" s="1111">
        <f>SUM('3c.m.'!G69)</f>
        <v>1209943</v>
      </c>
      <c r="G28" s="1067"/>
    </row>
    <row r="29" spans="1:7" ht="15">
      <c r="A29" s="1525">
        <v>3114</v>
      </c>
      <c r="B29" s="1525"/>
      <c r="C29" s="1522" t="s">
        <v>128</v>
      </c>
      <c r="D29" s="1523"/>
      <c r="E29" s="1524"/>
      <c r="F29" s="1111">
        <f>SUM('3c.m.'!G86)</f>
        <v>173662</v>
      </c>
      <c r="G29" s="1067"/>
    </row>
    <row r="30" spans="1:7" ht="15">
      <c r="A30" s="1525">
        <v>3121</v>
      </c>
      <c r="B30" s="1525"/>
      <c r="C30" s="1522" t="s">
        <v>195</v>
      </c>
      <c r="D30" s="1523"/>
      <c r="E30" s="1524"/>
      <c r="F30" s="1111">
        <f>SUM('3c.m.'!G103)</f>
        <v>25294</v>
      </c>
      <c r="G30" s="1067"/>
    </row>
    <row r="31" spans="1:7" ht="15">
      <c r="A31" s="1525">
        <v>3122</v>
      </c>
      <c r="B31" s="1525"/>
      <c r="C31" s="1522" t="s">
        <v>188</v>
      </c>
      <c r="D31" s="1523"/>
      <c r="E31" s="1524"/>
      <c r="F31" s="1111">
        <f>SUM('3c.m.'!G111)</f>
        <v>26661</v>
      </c>
      <c r="G31" s="1067"/>
    </row>
    <row r="32" spans="1:7" ht="15">
      <c r="A32" s="1525">
        <v>3123</v>
      </c>
      <c r="B32" s="1525"/>
      <c r="C32" s="1522" t="s">
        <v>127</v>
      </c>
      <c r="D32" s="1523"/>
      <c r="E32" s="1524"/>
      <c r="F32" s="1109">
        <f>SUM('3c.m.'!G119)</f>
        <v>32787</v>
      </c>
      <c r="G32" s="1067"/>
    </row>
    <row r="33" spans="1:7" ht="15">
      <c r="A33" s="1525">
        <v>3124</v>
      </c>
      <c r="B33" s="1525"/>
      <c r="C33" s="1522" t="s">
        <v>130</v>
      </c>
      <c r="D33" s="1523"/>
      <c r="E33" s="1524"/>
      <c r="F33" s="1109">
        <f>SUM('3c.m.'!G127)</f>
        <v>10522</v>
      </c>
      <c r="G33" s="1067"/>
    </row>
    <row r="34" spans="1:6" ht="15">
      <c r="A34" s="1525">
        <v>3211</v>
      </c>
      <c r="B34" s="1525"/>
      <c r="C34" s="1522" t="s">
        <v>27</v>
      </c>
      <c r="D34" s="1523"/>
      <c r="E34" s="1524"/>
      <c r="F34" s="1109">
        <f>SUM('3c.m.'!G279)</f>
        <v>341754</v>
      </c>
    </row>
    <row r="35" spans="1:6" ht="15">
      <c r="A35" s="1525">
        <v>3213</v>
      </c>
      <c r="B35" s="1525"/>
      <c r="C35" s="1522" t="s">
        <v>365</v>
      </c>
      <c r="D35" s="1523"/>
      <c r="E35" s="1524"/>
      <c r="F35" s="1113">
        <f>SUM('3c.m.'!G295)</f>
        <v>547767</v>
      </c>
    </row>
    <row r="36" spans="1:6" ht="15">
      <c r="A36" s="1525">
        <v>3925</v>
      </c>
      <c r="B36" s="1525"/>
      <c r="C36" s="1522" t="s">
        <v>28</v>
      </c>
      <c r="D36" s="1523"/>
      <c r="E36" s="1524"/>
      <c r="F36" s="1113">
        <f>SUM('3d.m.'!G15)</f>
        <v>471274</v>
      </c>
    </row>
    <row r="37" spans="1:6" ht="15">
      <c r="A37" s="1525">
        <v>4018</v>
      </c>
      <c r="B37" s="1525"/>
      <c r="C37" s="1140" t="s">
        <v>1135</v>
      </c>
      <c r="D37" s="1074"/>
      <c r="E37" s="1075"/>
      <c r="F37" s="1113">
        <f>SUM('4.mell.'!G20)</f>
        <v>54716</v>
      </c>
    </row>
    <row r="38" spans="1:6" ht="15">
      <c r="A38" s="1525">
        <v>4112</v>
      </c>
      <c r="B38" s="1525"/>
      <c r="C38" s="1522" t="s">
        <v>248</v>
      </c>
      <c r="D38" s="1523"/>
      <c r="E38" s="1524"/>
      <c r="F38" s="1113">
        <f>SUM('4.mell.'!G26)</f>
        <v>675000</v>
      </c>
    </row>
    <row r="39" spans="1:6" ht="15">
      <c r="A39" s="1525">
        <v>4114</v>
      </c>
      <c r="B39" s="1525"/>
      <c r="C39" s="1522" t="s">
        <v>189</v>
      </c>
      <c r="D39" s="1523"/>
      <c r="E39" s="1524"/>
      <c r="F39" s="1113">
        <f>SUM('4.mell.'!G27)</f>
        <v>144982</v>
      </c>
    </row>
    <row r="40" spans="1:6" ht="15">
      <c r="A40" s="1525">
        <v>4115</v>
      </c>
      <c r="B40" s="1525"/>
      <c r="C40" s="1522" t="s">
        <v>427</v>
      </c>
      <c r="D40" s="1523"/>
      <c r="E40" s="1524"/>
      <c r="F40" s="1113">
        <f>SUM('4.mell.'!G28)</f>
        <v>266001</v>
      </c>
    </row>
    <row r="41" spans="1:6" ht="15">
      <c r="A41" s="1525">
        <v>4121</v>
      </c>
      <c r="B41" s="1525"/>
      <c r="C41" s="1522" t="s">
        <v>885</v>
      </c>
      <c r="D41" s="1523"/>
      <c r="E41" s="1524"/>
      <c r="F41" s="1113">
        <f>SUM('4.mell.'!G32)</f>
        <v>70658</v>
      </c>
    </row>
    <row r="42" spans="1:6" ht="15">
      <c r="A42" s="1525">
        <v>4124</v>
      </c>
      <c r="B42" s="1525"/>
      <c r="C42" s="1073" t="s">
        <v>1149</v>
      </c>
      <c r="D42" s="1074"/>
      <c r="E42" s="1075"/>
      <c r="F42" s="1113">
        <f>SUM('4.mell.'!G39)</f>
        <v>1143</v>
      </c>
    </row>
    <row r="43" spans="1:6" ht="15">
      <c r="A43" s="1525">
        <v>4125</v>
      </c>
      <c r="B43" s="1525"/>
      <c r="C43" s="1522" t="s">
        <v>249</v>
      </c>
      <c r="D43" s="1523"/>
      <c r="E43" s="1524"/>
      <c r="F43" s="1113">
        <f>SUM('4.mell.'!G40)</f>
        <v>76939</v>
      </c>
    </row>
    <row r="44" spans="1:6" ht="15">
      <c r="A44" s="1525">
        <v>4122</v>
      </c>
      <c r="B44" s="1525"/>
      <c r="C44" s="1522" t="s">
        <v>886</v>
      </c>
      <c r="D44" s="1523"/>
      <c r="E44" s="1524"/>
      <c r="F44" s="1113">
        <f>SUM('4.mell.'!G36)</f>
        <v>190231</v>
      </c>
    </row>
    <row r="45" spans="1:6" ht="15">
      <c r="A45" s="1525">
        <v>3115</v>
      </c>
      <c r="B45" s="1525"/>
      <c r="C45" s="1522" t="s">
        <v>413</v>
      </c>
      <c r="D45" s="1523"/>
      <c r="E45" s="1524"/>
      <c r="F45" s="1113">
        <f>SUM('3c.m.'!G94)</f>
        <v>73829</v>
      </c>
    </row>
    <row r="46" spans="1:6" ht="15">
      <c r="A46" s="1525">
        <v>4131</v>
      </c>
      <c r="B46" s="1525"/>
      <c r="C46" s="1522" t="s">
        <v>303</v>
      </c>
      <c r="D46" s="1523"/>
      <c r="E46" s="1524"/>
      <c r="F46" s="1113">
        <f>SUM('4.mell.'!G42)</f>
        <v>70179</v>
      </c>
    </row>
    <row r="47" spans="1:6" ht="15">
      <c r="A47" s="1525">
        <v>4133</v>
      </c>
      <c r="B47" s="1525"/>
      <c r="C47" s="1522" t="s">
        <v>304</v>
      </c>
      <c r="D47" s="1523"/>
      <c r="E47" s="1524"/>
      <c r="F47" s="1113">
        <f>SUM('4.mell.'!G47)</f>
        <v>180562</v>
      </c>
    </row>
    <row r="48" spans="1:6" ht="15">
      <c r="A48" s="1525">
        <v>4141</v>
      </c>
      <c r="B48" s="1525"/>
      <c r="C48" s="1522" t="s">
        <v>404</v>
      </c>
      <c r="D48" s="1523"/>
      <c r="E48" s="1524"/>
      <c r="F48" s="1113">
        <f>SUM('4.mell.'!G53)</f>
        <v>70640</v>
      </c>
    </row>
    <row r="49" spans="1:6" ht="15">
      <c r="A49" s="1525">
        <v>4136</v>
      </c>
      <c r="B49" s="1525"/>
      <c r="C49" s="1522" t="s">
        <v>419</v>
      </c>
      <c r="D49" s="1523"/>
      <c r="E49" s="1524"/>
      <c r="F49" s="1113">
        <f>SUM('4.mell.'!G48)</f>
        <v>139544</v>
      </c>
    </row>
    <row r="50" spans="1:6" ht="15">
      <c r="A50" s="1525">
        <v>4137</v>
      </c>
      <c r="B50" s="1525"/>
      <c r="C50" s="1073" t="s">
        <v>1136</v>
      </c>
      <c r="D50" s="1074"/>
      <c r="E50" s="1075"/>
      <c r="F50" s="1113">
        <f>SUM('4.mell.'!G52)</f>
        <v>4000</v>
      </c>
    </row>
    <row r="51" spans="1:6" ht="15">
      <c r="A51" s="1525">
        <v>4211</v>
      </c>
      <c r="B51" s="1525"/>
      <c r="C51" s="1522" t="s">
        <v>632</v>
      </c>
      <c r="D51" s="1523"/>
      <c r="E51" s="1524"/>
      <c r="F51" s="1113">
        <f>SUM('4.mell.'!G59)</f>
        <v>6584</v>
      </c>
    </row>
    <row r="52" spans="1:6" ht="15">
      <c r="A52" s="1525">
        <v>4213</v>
      </c>
      <c r="B52" s="1525"/>
      <c r="C52" s="1522" t="s">
        <v>634</v>
      </c>
      <c r="D52" s="1523"/>
      <c r="E52" s="1524"/>
      <c r="F52" s="1113">
        <f>SUM('4.mell.'!G60)</f>
        <v>19201</v>
      </c>
    </row>
    <row r="53" spans="1:6" ht="15">
      <c r="A53" s="1525">
        <v>4225</v>
      </c>
      <c r="B53" s="1525"/>
      <c r="C53" s="1522" t="s">
        <v>646</v>
      </c>
      <c r="D53" s="1523"/>
      <c r="E53" s="1524"/>
      <c r="F53" s="1113">
        <f>SUM('4.mell.'!G66)</f>
        <v>110013</v>
      </c>
    </row>
    <row r="54" spans="1:6" ht="15">
      <c r="A54" s="1525">
        <v>4322</v>
      </c>
      <c r="B54" s="1525"/>
      <c r="C54" s="1522" t="s">
        <v>1212</v>
      </c>
      <c r="D54" s="1523"/>
      <c r="E54" s="1524"/>
      <c r="F54" s="1113">
        <f>SUM('4.mell.'!G74)</f>
        <v>56539</v>
      </c>
    </row>
    <row r="55" spans="1:6" ht="15">
      <c r="A55" s="1525">
        <v>4323</v>
      </c>
      <c r="B55" s="1525"/>
      <c r="C55" s="1522" t="s">
        <v>435</v>
      </c>
      <c r="D55" s="1523"/>
      <c r="E55" s="1524"/>
      <c r="F55" s="1113">
        <f>SUM('4.mell.'!G75)</f>
        <v>31593</v>
      </c>
    </row>
    <row r="56" spans="1:6" ht="15">
      <c r="A56" s="1525">
        <v>4265</v>
      </c>
      <c r="B56" s="1525"/>
      <c r="C56" s="1522" t="s">
        <v>36</v>
      </c>
      <c r="D56" s="1523"/>
      <c r="E56" s="1524"/>
      <c r="F56" s="1113">
        <f>SUM('4.mell.'!G68)</f>
        <v>24837</v>
      </c>
    </row>
    <row r="57" spans="1:6" ht="15">
      <c r="A57" s="1525">
        <v>4310</v>
      </c>
      <c r="B57" s="1525"/>
      <c r="C57" s="1522" t="s">
        <v>392</v>
      </c>
      <c r="D57" s="1523"/>
      <c r="E57" s="1524"/>
      <c r="F57" s="1113">
        <f>SUM('4.mell.'!G71)</f>
        <v>257015</v>
      </c>
    </row>
    <row r="58" spans="1:6" ht="15">
      <c r="A58" s="1525">
        <v>4321</v>
      </c>
      <c r="B58" s="1525"/>
      <c r="C58" s="1199" t="s">
        <v>432</v>
      </c>
      <c r="D58" s="1074"/>
      <c r="E58" s="1075"/>
      <c r="F58" s="1109">
        <f>SUM('4.mell.'!G73)</f>
        <v>12229</v>
      </c>
    </row>
    <row r="59" spans="1:6" ht="15">
      <c r="A59" s="1525">
        <v>5021</v>
      </c>
      <c r="B59" s="1525"/>
      <c r="C59" s="1522" t="s">
        <v>12</v>
      </c>
      <c r="D59" s="1523"/>
      <c r="E59" s="1524"/>
      <c r="F59" s="1113">
        <f>SUM('5.mell. '!G13)</f>
        <v>23560</v>
      </c>
    </row>
    <row r="60" spans="1:6" ht="15">
      <c r="A60" s="1526">
        <v>5023</v>
      </c>
      <c r="B60" s="1526"/>
      <c r="C60" s="1527" t="s">
        <v>887</v>
      </c>
      <c r="D60" s="1528"/>
      <c r="E60" s="1529"/>
      <c r="F60" s="1113">
        <f>SUM('5.mell. '!G14)</f>
        <v>264784</v>
      </c>
    </row>
    <row r="61" spans="1:6" ht="15">
      <c r="A61" s="1526">
        <v>5024</v>
      </c>
      <c r="B61" s="1526"/>
      <c r="C61" s="1527" t="s">
        <v>440</v>
      </c>
      <c r="D61" s="1528"/>
      <c r="E61" s="1529"/>
      <c r="F61" s="1113">
        <f>SUM('5.mell. '!G19)</f>
        <v>734588</v>
      </c>
    </row>
    <row r="62" spans="1:6" ht="15">
      <c r="A62" s="1526">
        <v>5031</v>
      </c>
      <c r="B62" s="1526"/>
      <c r="C62" s="1068" t="s">
        <v>1139</v>
      </c>
      <c r="D62" s="1069"/>
      <c r="E62" s="1070"/>
      <c r="F62" s="1113">
        <f>SUM('5.mell. '!G26)</f>
        <v>8000</v>
      </c>
    </row>
    <row r="63" spans="1:6" ht="15">
      <c r="A63" s="1526">
        <v>5032</v>
      </c>
      <c r="B63" s="1526"/>
      <c r="C63" s="1527" t="s">
        <v>1094</v>
      </c>
      <c r="D63" s="1528"/>
      <c r="E63" s="1529"/>
      <c r="F63" s="1109">
        <f>SUM('5.mell. '!G27)</f>
        <v>28500</v>
      </c>
    </row>
    <row r="64" spans="1:6" ht="15">
      <c r="A64" s="1526">
        <v>5034</v>
      </c>
      <c r="B64" s="1526"/>
      <c r="C64" s="1527" t="s">
        <v>1095</v>
      </c>
      <c r="D64" s="1528"/>
      <c r="E64" s="1529"/>
      <c r="F64" s="1113">
        <f>SUM('5.mell. '!G31)</f>
        <v>6650</v>
      </c>
    </row>
    <row r="65" spans="1:6" ht="15">
      <c r="A65" s="1526">
        <v>5036</v>
      </c>
      <c r="B65" s="1526"/>
      <c r="C65" s="1527" t="s">
        <v>1096</v>
      </c>
      <c r="D65" s="1528"/>
      <c r="E65" s="1529"/>
      <c r="F65" s="1113">
        <f>SUM('5.mell. '!G33)</f>
        <v>15200</v>
      </c>
    </row>
    <row r="66" spans="1:6" ht="15">
      <c r="A66" s="1526">
        <v>5047</v>
      </c>
      <c r="B66" s="1526"/>
      <c r="C66" s="1154" t="s">
        <v>1168</v>
      </c>
      <c r="D66" s="1069"/>
      <c r="E66" s="1070"/>
      <c r="F66" s="1113">
        <f>SUM('5.mell. '!G42)</f>
        <v>5000</v>
      </c>
    </row>
    <row r="67" spans="1:6" ht="15">
      <c r="A67" s="1526">
        <v>5048</v>
      </c>
      <c r="B67" s="1526"/>
      <c r="C67" s="1154" t="s">
        <v>1169</v>
      </c>
      <c r="D67" s="1069"/>
      <c r="E67" s="1070"/>
      <c r="F67" s="1113">
        <f>SUM('5.mell. '!G43)</f>
        <v>8000</v>
      </c>
    </row>
    <row r="68" spans="1:6" ht="15">
      <c r="A68" s="1526">
        <v>5049</v>
      </c>
      <c r="B68" s="1526"/>
      <c r="C68" s="1138" t="s">
        <v>1175</v>
      </c>
      <c r="D68" s="1069"/>
      <c r="E68" s="1070"/>
      <c r="F68" s="1113">
        <f>SUM('5.mell. '!G44)</f>
        <v>45000</v>
      </c>
    </row>
    <row r="69" spans="1:6" ht="15">
      <c r="A69" s="1525">
        <v>1851</v>
      </c>
      <c r="B69" s="1525"/>
      <c r="C69" s="1522" t="s">
        <v>499</v>
      </c>
      <c r="D69" s="1523"/>
      <c r="E69" s="1524"/>
      <c r="F69" s="1113">
        <f>SUM('1c.mell '!G113)</f>
        <v>48000</v>
      </c>
    </row>
    <row r="70" spans="1:6" ht="15">
      <c r="A70" s="1525">
        <v>1790</v>
      </c>
      <c r="B70" s="1525"/>
      <c r="C70" s="1522" t="s">
        <v>888</v>
      </c>
      <c r="D70" s="1523"/>
      <c r="E70" s="1524"/>
      <c r="F70" s="1113">
        <f>SUM('1c.mell '!G71)</f>
        <v>18123</v>
      </c>
    </row>
    <row r="71" spans="1:6" ht="12.75">
      <c r="A71" s="1530" t="s">
        <v>889</v>
      </c>
      <c r="B71" s="1556" t="s">
        <v>890</v>
      </c>
      <c r="C71" s="1556"/>
      <c r="D71" s="1556"/>
      <c r="E71" s="1556"/>
      <c r="F71" s="1551">
        <f>SUM(F74:F74)</f>
        <v>93934</v>
      </c>
    </row>
    <row r="72" spans="1:6" ht="12.75">
      <c r="A72" s="1530"/>
      <c r="B72" s="1556"/>
      <c r="C72" s="1556"/>
      <c r="D72" s="1556"/>
      <c r="E72" s="1556"/>
      <c r="F72" s="1552"/>
    </row>
    <row r="73" spans="1:6" ht="12.75">
      <c r="A73" s="1530"/>
      <c r="B73" s="1556"/>
      <c r="C73" s="1556"/>
      <c r="D73" s="1556"/>
      <c r="E73" s="1556"/>
      <c r="F73" s="1553"/>
    </row>
    <row r="74" spans="1:8" ht="13.5" customHeight="1">
      <c r="A74" s="1525">
        <v>2985</v>
      </c>
      <c r="B74" s="1525"/>
      <c r="C74" s="1522" t="s">
        <v>655</v>
      </c>
      <c r="D74" s="1523"/>
      <c r="E74" s="1524"/>
      <c r="F74" s="1113">
        <v>93934</v>
      </c>
      <c r="G74" s="59"/>
      <c r="H74" s="59"/>
    </row>
    <row r="75" spans="1:7" ht="13.5" customHeight="1">
      <c r="A75" s="1530" t="s">
        <v>891</v>
      </c>
      <c r="B75" s="1556" t="s">
        <v>892</v>
      </c>
      <c r="C75" s="1556"/>
      <c r="D75" s="1556"/>
      <c r="E75" s="1556"/>
      <c r="F75" s="1551">
        <f>SUM(F78:F78)</f>
        <v>276139</v>
      </c>
      <c r="G75" s="59"/>
    </row>
    <row r="76" spans="1:7" ht="13.5" customHeight="1">
      <c r="A76" s="1530"/>
      <c r="B76" s="1556"/>
      <c r="C76" s="1556"/>
      <c r="D76" s="1556"/>
      <c r="E76" s="1556"/>
      <c r="F76" s="1552"/>
      <c r="G76" s="59"/>
    </row>
    <row r="77" spans="1:7" ht="13.5" customHeight="1">
      <c r="A77" s="1530"/>
      <c r="B77" s="1556"/>
      <c r="C77" s="1556"/>
      <c r="D77" s="1556"/>
      <c r="E77" s="1556"/>
      <c r="F77" s="1553"/>
      <c r="G77" s="59"/>
    </row>
    <row r="78" spans="1:7" ht="13.5" customHeight="1">
      <c r="A78" s="1525">
        <v>1803</v>
      </c>
      <c r="B78" s="1525"/>
      <c r="C78" s="1522" t="s">
        <v>893</v>
      </c>
      <c r="D78" s="1523"/>
      <c r="E78" s="1524"/>
      <c r="F78" s="1109">
        <f>SUM('1c.mell '!G78)</f>
        <v>276139</v>
      </c>
      <c r="G78" s="59"/>
    </row>
    <row r="79" spans="1:6" ht="13.5" customHeight="1">
      <c r="A79" s="1530" t="s">
        <v>894</v>
      </c>
      <c r="B79" s="1556" t="s">
        <v>895</v>
      </c>
      <c r="C79" s="1556"/>
      <c r="D79" s="1556"/>
      <c r="E79" s="1556"/>
      <c r="F79" s="1551">
        <f>SUM(F82:F82)</f>
        <v>794325</v>
      </c>
    </row>
    <row r="80" spans="1:6" ht="13.5" customHeight="1">
      <c r="A80" s="1530"/>
      <c r="B80" s="1556"/>
      <c r="C80" s="1556"/>
      <c r="D80" s="1556"/>
      <c r="E80" s="1556"/>
      <c r="F80" s="1552"/>
    </row>
    <row r="81" spans="1:6" ht="12" customHeight="1">
      <c r="A81" s="1530"/>
      <c r="B81" s="1556"/>
      <c r="C81" s="1556"/>
      <c r="D81" s="1556"/>
      <c r="E81" s="1556"/>
      <c r="F81" s="1553"/>
    </row>
    <row r="82" spans="1:6" ht="15">
      <c r="A82" s="1525">
        <v>3030</v>
      </c>
      <c r="B82" s="1525"/>
      <c r="C82" s="1522" t="s">
        <v>896</v>
      </c>
      <c r="D82" s="1523"/>
      <c r="E82" s="1524"/>
      <c r="F82" s="1112">
        <f>SUM('3b.m.'!G48)</f>
        <v>794325</v>
      </c>
    </row>
    <row r="83" spans="1:6" ht="12.75">
      <c r="A83" s="1530" t="s">
        <v>897</v>
      </c>
      <c r="B83" s="1556" t="s">
        <v>43</v>
      </c>
      <c r="C83" s="1556"/>
      <c r="D83" s="1556"/>
      <c r="E83" s="1556"/>
      <c r="F83" s="1551">
        <f>SUM(F86:F88)</f>
        <v>21667</v>
      </c>
    </row>
    <row r="84" spans="1:6" ht="12.75">
      <c r="A84" s="1530"/>
      <c r="B84" s="1556"/>
      <c r="C84" s="1556"/>
      <c r="D84" s="1556"/>
      <c r="E84" s="1556"/>
      <c r="F84" s="1552"/>
    </row>
    <row r="85" spans="1:6" ht="12.75">
      <c r="A85" s="1530"/>
      <c r="B85" s="1556"/>
      <c r="C85" s="1556"/>
      <c r="D85" s="1556"/>
      <c r="E85" s="1556"/>
      <c r="F85" s="1553"/>
    </row>
    <row r="86" spans="1:6" ht="15">
      <c r="A86" s="1525">
        <v>3204</v>
      </c>
      <c r="B86" s="1525"/>
      <c r="C86" s="1522" t="s">
        <v>898</v>
      </c>
      <c r="D86" s="1523"/>
      <c r="E86" s="1524"/>
      <c r="F86" s="1109">
        <f>SUM('3c.m.'!G228)</f>
        <v>10667</v>
      </c>
    </row>
    <row r="87" spans="1:6" ht="15">
      <c r="A87" s="1525">
        <v>3210</v>
      </c>
      <c r="B87" s="1525"/>
      <c r="C87" s="1522" t="s">
        <v>43</v>
      </c>
      <c r="D87" s="1523"/>
      <c r="E87" s="1524"/>
      <c r="F87" s="1109">
        <f>SUM('3c.m.'!G270)</f>
        <v>2000</v>
      </c>
    </row>
    <row r="88" spans="1:6" ht="15">
      <c r="A88" s="1525">
        <v>3924</v>
      </c>
      <c r="B88" s="1525"/>
      <c r="C88" s="1522" t="s">
        <v>444</v>
      </c>
      <c r="D88" s="1523"/>
      <c r="E88" s="1524"/>
      <c r="F88" s="1113">
        <f>SUM('3d.m.'!G14)</f>
        <v>9000</v>
      </c>
    </row>
    <row r="89" spans="1:6" ht="12.75">
      <c r="A89" s="1530" t="s">
        <v>899</v>
      </c>
      <c r="B89" s="1556" t="s">
        <v>900</v>
      </c>
      <c r="C89" s="1556"/>
      <c r="D89" s="1556"/>
      <c r="E89" s="1556"/>
      <c r="F89" s="1551">
        <f>SUM(F92)</f>
        <v>1000</v>
      </c>
    </row>
    <row r="90" spans="1:6" ht="12.75">
      <c r="A90" s="1530"/>
      <c r="B90" s="1556"/>
      <c r="C90" s="1556"/>
      <c r="D90" s="1556"/>
      <c r="E90" s="1556"/>
      <c r="F90" s="1552"/>
    </row>
    <row r="91" spans="1:6" ht="12.75">
      <c r="A91" s="1530"/>
      <c r="B91" s="1556"/>
      <c r="C91" s="1556"/>
      <c r="D91" s="1556"/>
      <c r="E91" s="1556"/>
      <c r="F91" s="1553"/>
    </row>
    <row r="92" spans="1:6" ht="15">
      <c r="A92" s="1525">
        <v>3452</v>
      </c>
      <c r="B92" s="1525"/>
      <c r="C92" s="1522" t="s">
        <v>901</v>
      </c>
      <c r="D92" s="1523"/>
      <c r="E92" s="1524"/>
      <c r="F92" s="1109">
        <f>SUM('3c.m.'!G798)</f>
        <v>1000</v>
      </c>
    </row>
    <row r="93" spans="1:6" ht="12" customHeight="1">
      <c r="A93" s="1530" t="s">
        <v>902</v>
      </c>
      <c r="B93" s="1556" t="s">
        <v>903</v>
      </c>
      <c r="C93" s="1556"/>
      <c r="D93" s="1556"/>
      <c r="E93" s="1556"/>
      <c r="F93" s="1551">
        <f>SUM(F96)</f>
        <v>997961</v>
      </c>
    </row>
    <row r="94" spans="1:6" ht="12" customHeight="1">
      <c r="A94" s="1530"/>
      <c r="B94" s="1556"/>
      <c r="C94" s="1556"/>
      <c r="D94" s="1556"/>
      <c r="E94" s="1556"/>
      <c r="F94" s="1552"/>
    </row>
    <row r="95" spans="1:6" ht="12" customHeight="1">
      <c r="A95" s="1530"/>
      <c r="B95" s="1556"/>
      <c r="C95" s="1556"/>
      <c r="D95" s="1556"/>
      <c r="E95" s="1556"/>
      <c r="F95" s="1553"/>
    </row>
    <row r="96" spans="1:7" ht="15">
      <c r="A96" s="1525">
        <v>2795</v>
      </c>
      <c r="B96" s="1525"/>
      <c r="C96" s="1522" t="s">
        <v>904</v>
      </c>
      <c r="D96" s="1523"/>
      <c r="E96" s="1524"/>
      <c r="F96" s="1109">
        <v>997961</v>
      </c>
      <c r="G96" s="59"/>
    </row>
    <row r="97" spans="1:6" ht="12.75">
      <c r="A97" s="1530" t="s">
        <v>905</v>
      </c>
      <c r="B97" s="1556" t="s">
        <v>906</v>
      </c>
      <c r="C97" s="1556"/>
      <c r="D97" s="1556"/>
      <c r="E97" s="1556"/>
      <c r="F97" s="1551">
        <f>SUM(F100)</f>
        <v>16293</v>
      </c>
    </row>
    <row r="98" spans="1:6" ht="12.75">
      <c r="A98" s="1530"/>
      <c r="B98" s="1556"/>
      <c r="C98" s="1556"/>
      <c r="D98" s="1556"/>
      <c r="E98" s="1556"/>
      <c r="F98" s="1552"/>
    </row>
    <row r="99" spans="1:6" ht="12.75">
      <c r="A99" s="1530"/>
      <c r="B99" s="1556"/>
      <c r="C99" s="1556"/>
      <c r="D99" s="1556"/>
      <c r="E99" s="1556"/>
      <c r="F99" s="1553"/>
    </row>
    <row r="100" spans="1:6" ht="15">
      <c r="A100" s="1525">
        <v>3356</v>
      </c>
      <c r="B100" s="1525"/>
      <c r="C100" s="1522" t="s">
        <v>907</v>
      </c>
      <c r="D100" s="1523"/>
      <c r="E100" s="1524"/>
      <c r="F100" s="1109">
        <f>SUM('3c.m.'!G593)</f>
        <v>16293</v>
      </c>
    </row>
    <row r="101" spans="1:6" ht="12" customHeight="1">
      <c r="A101" s="1530" t="s">
        <v>908</v>
      </c>
      <c r="B101" s="1556" t="s">
        <v>909</v>
      </c>
      <c r="C101" s="1556"/>
      <c r="D101" s="1556"/>
      <c r="E101" s="1556"/>
      <c r="F101" s="1551">
        <f>SUM(F104)</f>
        <v>305160</v>
      </c>
    </row>
    <row r="102" spans="1:6" ht="12" customHeight="1">
      <c r="A102" s="1530"/>
      <c r="B102" s="1556"/>
      <c r="C102" s="1556"/>
      <c r="D102" s="1556"/>
      <c r="E102" s="1556"/>
      <c r="F102" s="1552"/>
    </row>
    <row r="103" spans="1:6" ht="12" customHeight="1">
      <c r="A103" s="1530"/>
      <c r="B103" s="1556"/>
      <c r="C103" s="1556"/>
      <c r="D103" s="1556"/>
      <c r="E103" s="1556"/>
      <c r="F103" s="1553"/>
    </row>
    <row r="104" spans="1:6" ht="15">
      <c r="A104" s="1525">
        <v>3941</v>
      </c>
      <c r="B104" s="1525"/>
      <c r="C104" s="1522" t="s">
        <v>910</v>
      </c>
      <c r="D104" s="1523"/>
      <c r="E104" s="1524"/>
      <c r="F104" s="1109">
        <f>SUM('3d.m.'!G31)</f>
        <v>305160</v>
      </c>
    </row>
    <row r="105" spans="1:6" ht="12.75">
      <c r="A105" s="1530" t="s">
        <v>911</v>
      </c>
      <c r="B105" s="1556" t="s">
        <v>912</v>
      </c>
      <c r="C105" s="1556"/>
      <c r="D105" s="1556"/>
      <c r="E105" s="1556"/>
      <c r="F105" s="1551">
        <f>SUM(F108)</f>
        <v>28590</v>
      </c>
    </row>
    <row r="106" spans="1:6" ht="12.75">
      <c r="A106" s="1530"/>
      <c r="B106" s="1556"/>
      <c r="C106" s="1556"/>
      <c r="D106" s="1556"/>
      <c r="E106" s="1556"/>
      <c r="F106" s="1552"/>
    </row>
    <row r="107" spans="1:6" ht="12.75">
      <c r="A107" s="1530"/>
      <c r="B107" s="1556"/>
      <c r="C107" s="1556"/>
      <c r="D107" s="1556"/>
      <c r="E107" s="1556"/>
      <c r="F107" s="1553"/>
    </row>
    <row r="108" spans="1:6" ht="15">
      <c r="A108" s="1525">
        <v>3207</v>
      </c>
      <c r="B108" s="1525"/>
      <c r="C108" s="1522" t="s">
        <v>305</v>
      </c>
      <c r="D108" s="1523"/>
      <c r="E108" s="1524"/>
      <c r="F108" s="1109">
        <f>SUM('3c.m.'!G245)</f>
        <v>28590</v>
      </c>
    </row>
    <row r="109" spans="1:6" ht="12.75">
      <c r="A109" s="1530" t="s">
        <v>913</v>
      </c>
      <c r="B109" s="1556" t="s">
        <v>914</v>
      </c>
      <c r="C109" s="1556"/>
      <c r="D109" s="1556"/>
      <c r="E109" s="1556"/>
      <c r="F109" s="1551">
        <f>SUM(F112:F113)</f>
        <v>1373701</v>
      </c>
    </row>
    <row r="110" spans="1:6" ht="12.75">
      <c r="A110" s="1530"/>
      <c r="B110" s="1556"/>
      <c r="C110" s="1556"/>
      <c r="D110" s="1556"/>
      <c r="E110" s="1556"/>
      <c r="F110" s="1552"/>
    </row>
    <row r="111" spans="1:6" ht="12.75">
      <c r="A111" s="1530"/>
      <c r="B111" s="1556"/>
      <c r="C111" s="1556"/>
      <c r="D111" s="1556"/>
      <c r="E111" s="1556"/>
      <c r="F111" s="1553"/>
    </row>
    <row r="112" spans="1:6" ht="15">
      <c r="A112" s="1525">
        <v>3212</v>
      </c>
      <c r="B112" s="1525"/>
      <c r="C112" s="1522" t="s">
        <v>915</v>
      </c>
      <c r="D112" s="1523"/>
      <c r="E112" s="1524"/>
      <c r="F112" s="1109">
        <f>SUM('3c.m.'!G287)</f>
        <v>1214006</v>
      </c>
    </row>
    <row r="113" spans="1:6" ht="15">
      <c r="A113" s="1525">
        <v>3926</v>
      </c>
      <c r="B113" s="1525"/>
      <c r="C113" s="1522" t="s">
        <v>1117</v>
      </c>
      <c r="D113" s="1523"/>
      <c r="E113" s="1524"/>
      <c r="F113" s="1113">
        <f>SUM('3d.m.'!G16)</f>
        <v>159695</v>
      </c>
    </row>
    <row r="114" spans="1:6" ht="12" customHeight="1">
      <c r="A114" s="1530" t="s">
        <v>916</v>
      </c>
      <c r="B114" s="1556" t="s">
        <v>917</v>
      </c>
      <c r="C114" s="1556"/>
      <c r="D114" s="1556"/>
      <c r="E114" s="1556"/>
      <c r="F114" s="1551">
        <f>SUM(F117)</f>
        <v>42811</v>
      </c>
    </row>
    <row r="115" spans="1:6" ht="12" customHeight="1">
      <c r="A115" s="1530"/>
      <c r="B115" s="1556"/>
      <c r="C115" s="1556"/>
      <c r="D115" s="1556"/>
      <c r="E115" s="1556"/>
      <c r="F115" s="1552"/>
    </row>
    <row r="116" spans="1:6" ht="12" customHeight="1">
      <c r="A116" s="1530"/>
      <c r="B116" s="1556"/>
      <c r="C116" s="1556"/>
      <c r="D116" s="1556"/>
      <c r="E116" s="1556"/>
      <c r="F116" s="1553"/>
    </row>
    <row r="117" spans="1:6" ht="15">
      <c r="A117" s="1525">
        <v>3205</v>
      </c>
      <c r="B117" s="1525"/>
      <c r="C117" s="1522" t="s">
        <v>376</v>
      </c>
      <c r="D117" s="1523"/>
      <c r="E117" s="1524"/>
      <c r="F117" s="1109">
        <f>SUM('3c.m.'!G237)</f>
        <v>42811</v>
      </c>
    </row>
    <row r="118" spans="1:6" ht="12.75">
      <c r="A118" s="1530" t="s">
        <v>918</v>
      </c>
      <c r="B118" s="1556" t="s">
        <v>919</v>
      </c>
      <c r="C118" s="1556"/>
      <c r="D118" s="1556"/>
      <c r="E118" s="1556"/>
      <c r="F118" s="1551">
        <f>SUM(F121:F122)</f>
        <v>150517</v>
      </c>
    </row>
    <row r="119" spans="1:6" ht="12.75">
      <c r="A119" s="1530"/>
      <c r="B119" s="1556"/>
      <c r="C119" s="1556"/>
      <c r="D119" s="1556"/>
      <c r="E119" s="1556"/>
      <c r="F119" s="1552"/>
    </row>
    <row r="120" spans="1:6" ht="12.75">
      <c r="A120" s="1530"/>
      <c r="B120" s="1556"/>
      <c r="C120" s="1556"/>
      <c r="D120" s="1556"/>
      <c r="E120" s="1556"/>
      <c r="F120" s="1553"/>
    </row>
    <row r="121" spans="1:6" ht="15">
      <c r="A121" s="1525">
        <v>5030</v>
      </c>
      <c r="B121" s="1525"/>
      <c r="C121" s="1073" t="s">
        <v>449</v>
      </c>
      <c r="D121" s="1074"/>
      <c r="E121" s="1075"/>
      <c r="F121" s="1112">
        <f>SUM('5.mell. '!G25)</f>
        <v>16988</v>
      </c>
    </row>
    <row r="122" spans="1:6" ht="15">
      <c r="A122" s="1525">
        <v>5037</v>
      </c>
      <c r="B122" s="1525"/>
      <c r="C122" s="1073" t="s">
        <v>1097</v>
      </c>
      <c r="D122" s="1074"/>
      <c r="E122" s="1075"/>
      <c r="F122" s="1112">
        <f>SUM('5.mell. '!G34)</f>
        <v>133529</v>
      </c>
    </row>
    <row r="123" spans="1:6" ht="12.75">
      <c r="A123" s="1530" t="s">
        <v>920</v>
      </c>
      <c r="B123" s="1556" t="s">
        <v>921</v>
      </c>
      <c r="C123" s="1556"/>
      <c r="D123" s="1556"/>
      <c r="E123" s="1556"/>
      <c r="F123" s="1551">
        <f>SUM(F126)</f>
        <v>458997</v>
      </c>
    </row>
    <row r="124" spans="1:6" ht="12.75">
      <c r="A124" s="1530"/>
      <c r="B124" s="1556"/>
      <c r="C124" s="1556"/>
      <c r="D124" s="1556"/>
      <c r="E124" s="1556"/>
      <c r="F124" s="1552"/>
    </row>
    <row r="125" spans="1:6" ht="12.75">
      <c r="A125" s="1530"/>
      <c r="B125" s="1556"/>
      <c r="C125" s="1556"/>
      <c r="D125" s="1556"/>
      <c r="E125" s="1556"/>
      <c r="F125" s="1553"/>
    </row>
    <row r="126" spans="1:6" ht="15">
      <c r="A126" s="1525">
        <v>3216</v>
      </c>
      <c r="B126" s="1525"/>
      <c r="C126" s="1522" t="s">
        <v>922</v>
      </c>
      <c r="D126" s="1523"/>
      <c r="E126" s="1524"/>
      <c r="F126" s="1109">
        <f>SUM('3c.m.'!G311)</f>
        <v>458997</v>
      </c>
    </row>
    <row r="127" spans="1:6" ht="12.75">
      <c r="A127" s="1530" t="s">
        <v>923</v>
      </c>
      <c r="B127" s="1556" t="s">
        <v>924</v>
      </c>
      <c r="C127" s="1556"/>
      <c r="D127" s="1556"/>
      <c r="E127" s="1556"/>
      <c r="F127" s="1551">
        <f>SUM(F130:F151)</f>
        <v>2009722</v>
      </c>
    </row>
    <row r="128" spans="1:6" ht="12.75">
      <c r="A128" s="1530"/>
      <c r="B128" s="1556"/>
      <c r="C128" s="1556"/>
      <c r="D128" s="1556"/>
      <c r="E128" s="1556"/>
      <c r="F128" s="1552"/>
    </row>
    <row r="129" spans="1:6" ht="12.75">
      <c r="A129" s="1530"/>
      <c r="B129" s="1556"/>
      <c r="C129" s="1556"/>
      <c r="D129" s="1556"/>
      <c r="E129" s="1556"/>
      <c r="F129" s="1553"/>
    </row>
    <row r="130" spans="1:6" ht="15">
      <c r="A130" s="1525">
        <v>3052</v>
      </c>
      <c r="B130" s="1525"/>
      <c r="C130" s="1522" t="s">
        <v>23</v>
      </c>
      <c r="D130" s="1523"/>
      <c r="E130" s="1524"/>
      <c r="F130" s="1109">
        <f>SUM('3c.m.'!G17)</f>
        <v>8258</v>
      </c>
    </row>
    <row r="131" spans="1:6" ht="15">
      <c r="A131" s="1525">
        <v>3061</v>
      </c>
      <c r="B131" s="1525"/>
      <c r="C131" s="1522" t="s">
        <v>126</v>
      </c>
      <c r="D131" s="1523"/>
      <c r="E131" s="1524"/>
      <c r="F131" s="1109">
        <f>SUM('3c.m.'!G42)</f>
        <v>3206</v>
      </c>
    </row>
    <row r="132" spans="1:6" ht="15">
      <c r="A132" s="1525">
        <v>3071</v>
      </c>
      <c r="B132" s="1525"/>
      <c r="C132" s="1522" t="s">
        <v>145</v>
      </c>
      <c r="D132" s="1523"/>
      <c r="E132" s="1524"/>
      <c r="F132" s="1109">
        <f>SUM('3c.m.'!G50)</f>
        <v>7738</v>
      </c>
    </row>
    <row r="133" spans="1:6" ht="15">
      <c r="A133" s="1525">
        <v>3203</v>
      </c>
      <c r="B133" s="1525"/>
      <c r="C133" s="1522" t="s">
        <v>177</v>
      </c>
      <c r="D133" s="1523"/>
      <c r="E133" s="1524"/>
      <c r="F133" s="1109">
        <f>SUM('3c.m.'!G220)</f>
        <v>8000</v>
      </c>
    </row>
    <row r="134" spans="1:6" ht="15">
      <c r="A134" s="1525">
        <v>3214</v>
      </c>
      <c r="B134" s="1525"/>
      <c r="C134" s="1522" t="s">
        <v>380</v>
      </c>
      <c r="D134" s="1523"/>
      <c r="E134" s="1524"/>
      <c r="F134" s="1109">
        <f>SUM('3c.m.'!G303)</f>
        <v>32340</v>
      </c>
    </row>
    <row r="135" spans="1:6" ht="15">
      <c r="A135" s="1525">
        <v>3224</v>
      </c>
      <c r="B135" s="1525"/>
      <c r="C135" s="1522" t="s">
        <v>1124</v>
      </c>
      <c r="D135" s="1523"/>
      <c r="E135" s="1524"/>
      <c r="F135" s="1109">
        <f>SUM('3c.m.'!G329)</f>
        <v>24000</v>
      </c>
    </row>
    <row r="136" spans="1:6" ht="15">
      <c r="A136" s="1525">
        <v>3424</v>
      </c>
      <c r="B136" s="1525"/>
      <c r="C136" s="1522" t="s">
        <v>312</v>
      </c>
      <c r="D136" s="1523"/>
      <c r="E136" s="1524"/>
      <c r="F136" s="1109">
        <f>SUM('3c.m.'!G701)</f>
        <v>28318</v>
      </c>
    </row>
    <row r="137" spans="1:6" ht="15">
      <c r="A137" s="1525">
        <v>3425</v>
      </c>
      <c r="B137" s="1525"/>
      <c r="C137" s="1522" t="s">
        <v>44</v>
      </c>
      <c r="D137" s="1523"/>
      <c r="E137" s="1524"/>
      <c r="F137" s="1109">
        <f>SUM('3c.m.'!G709)</f>
        <v>9814</v>
      </c>
    </row>
    <row r="138" spans="1:6" ht="15">
      <c r="A138" s="1525">
        <v>3427</v>
      </c>
      <c r="B138" s="1525"/>
      <c r="C138" s="1522" t="s">
        <v>45</v>
      </c>
      <c r="D138" s="1523"/>
      <c r="E138" s="1524"/>
      <c r="F138" s="1109">
        <f>SUM('3c.m.'!G725)</f>
        <v>24533</v>
      </c>
    </row>
    <row r="139" spans="1:6" ht="15">
      <c r="A139" s="1525">
        <v>3928</v>
      </c>
      <c r="B139" s="1525"/>
      <c r="C139" s="1522" t="s">
        <v>160</v>
      </c>
      <c r="D139" s="1523"/>
      <c r="E139" s="1524"/>
      <c r="F139" s="1109">
        <f>SUM('3d.m.'!G17)</f>
        <v>396950</v>
      </c>
    </row>
    <row r="140" spans="1:6" ht="15">
      <c r="A140" s="1525">
        <v>3112</v>
      </c>
      <c r="B140" s="1525"/>
      <c r="C140" s="1522" t="s">
        <v>455</v>
      </c>
      <c r="D140" s="1523"/>
      <c r="E140" s="1524"/>
      <c r="F140" s="1109">
        <f>SUM('3c.m.'!G77)</f>
        <v>55856</v>
      </c>
    </row>
    <row r="141" spans="1:6" ht="15">
      <c r="A141" s="1525">
        <v>3911</v>
      </c>
      <c r="B141" s="1525"/>
      <c r="C141" s="1522" t="s">
        <v>925</v>
      </c>
      <c r="D141" s="1523"/>
      <c r="E141" s="1524"/>
      <c r="F141" s="1113">
        <f>SUM('3d.m.'!G9)</f>
        <v>15000</v>
      </c>
    </row>
    <row r="142" spans="1:6" ht="15">
      <c r="A142" s="1525">
        <v>4011</v>
      </c>
      <c r="B142" s="1525"/>
      <c r="C142" s="1522" t="s">
        <v>1159</v>
      </c>
      <c r="D142" s="1523"/>
      <c r="E142" s="1524"/>
      <c r="F142" s="1113">
        <f>SUM('4.mell.'!G11)</f>
        <v>100000</v>
      </c>
    </row>
    <row r="143" spans="1:6" ht="15">
      <c r="A143" s="1525">
        <v>4012</v>
      </c>
      <c r="B143" s="1525"/>
      <c r="C143" s="1522" t="s">
        <v>1167</v>
      </c>
      <c r="D143" s="1523"/>
      <c r="E143" s="1524"/>
      <c r="F143" s="1113">
        <f>SUM('4.mell.'!G12)</f>
        <v>300000</v>
      </c>
    </row>
    <row r="144" spans="1:6" ht="15">
      <c r="A144" s="1525">
        <v>5035</v>
      </c>
      <c r="B144" s="1525"/>
      <c r="C144" s="1522" t="s">
        <v>1222</v>
      </c>
      <c r="D144" s="1523"/>
      <c r="E144" s="1524"/>
      <c r="F144" s="1109">
        <f>SUM('5.mell. '!G32)</f>
        <v>6000</v>
      </c>
    </row>
    <row r="145" spans="1:6" ht="15">
      <c r="A145" s="1525">
        <v>4014</v>
      </c>
      <c r="B145" s="1525"/>
      <c r="C145" s="1522" t="s">
        <v>926</v>
      </c>
      <c r="D145" s="1523"/>
      <c r="E145" s="1524"/>
      <c r="F145" s="1109">
        <f>SUM('4.mell.'!G16)</f>
        <v>69886</v>
      </c>
    </row>
    <row r="146" spans="1:6" ht="15">
      <c r="A146" s="1525">
        <v>4019</v>
      </c>
      <c r="B146" s="1525"/>
      <c r="C146" s="1522" t="s">
        <v>1161</v>
      </c>
      <c r="D146" s="1523"/>
      <c r="E146" s="1524"/>
      <c r="F146" s="1109">
        <f>SUM('4.mell.'!G21)</f>
        <v>100000</v>
      </c>
    </row>
    <row r="147" spans="1:6" ht="15">
      <c r="A147" s="1525">
        <v>4120</v>
      </c>
      <c r="B147" s="1525"/>
      <c r="C147" s="1073" t="s">
        <v>252</v>
      </c>
      <c r="D147" s="1074"/>
      <c r="E147" s="1075"/>
      <c r="F147" s="1109">
        <f>SUM('4.mell.'!G29)</f>
        <v>609025</v>
      </c>
    </row>
    <row r="148" spans="1:6" ht="15">
      <c r="A148" s="1525">
        <v>4132</v>
      </c>
      <c r="B148" s="1525"/>
      <c r="C148" s="1522" t="s">
        <v>129</v>
      </c>
      <c r="D148" s="1523"/>
      <c r="E148" s="1524"/>
      <c r="F148" s="1109">
        <f>SUM('4.mell.'!G46)</f>
        <v>50874</v>
      </c>
    </row>
    <row r="149" spans="1:6" ht="15">
      <c r="A149" s="1525">
        <v>5012</v>
      </c>
      <c r="B149" s="1525"/>
      <c r="C149" s="1522" t="s">
        <v>456</v>
      </c>
      <c r="D149" s="1523"/>
      <c r="E149" s="1524"/>
      <c r="F149" s="1109">
        <f>SUM('5.mell. '!G10)</f>
        <v>4000</v>
      </c>
    </row>
    <row r="150" spans="1:6" ht="15">
      <c r="A150" s="1525">
        <v>5033</v>
      </c>
      <c r="B150" s="1525"/>
      <c r="C150" s="1522" t="s">
        <v>29</v>
      </c>
      <c r="D150" s="1523"/>
      <c r="E150" s="1524"/>
      <c r="F150" s="1109">
        <f>SUM('5.mell. '!G28)</f>
        <v>49686</v>
      </c>
    </row>
    <row r="151" spans="1:6" ht="15">
      <c r="A151" s="1525">
        <v>5039</v>
      </c>
      <c r="B151" s="1525"/>
      <c r="C151" s="1522" t="s">
        <v>927</v>
      </c>
      <c r="D151" s="1523"/>
      <c r="E151" s="1524"/>
      <c r="F151" s="1109">
        <f>SUM('5.mell. '!G35)</f>
        <v>106238</v>
      </c>
    </row>
    <row r="152" spans="1:6" ht="12" customHeight="1">
      <c r="A152" s="1530" t="s">
        <v>928</v>
      </c>
      <c r="B152" s="1556" t="s">
        <v>929</v>
      </c>
      <c r="C152" s="1556"/>
      <c r="D152" s="1556"/>
      <c r="E152" s="1556"/>
      <c r="F152" s="1551">
        <f>SUM(F155:F156)</f>
        <v>297655</v>
      </c>
    </row>
    <row r="153" spans="1:6" ht="12" customHeight="1">
      <c r="A153" s="1530"/>
      <c r="B153" s="1556"/>
      <c r="C153" s="1556"/>
      <c r="D153" s="1556"/>
      <c r="E153" s="1556"/>
      <c r="F153" s="1552"/>
    </row>
    <row r="154" spans="1:6" ht="12" customHeight="1">
      <c r="A154" s="1530"/>
      <c r="B154" s="1556"/>
      <c r="C154" s="1556"/>
      <c r="D154" s="1556"/>
      <c r="E154" s="1556"/>
      <c r="F154" s="1553"/>
    </row>
    <row r="155" spans="1:6" ht="12" customHeight="1">
      <c r="A155" s="1525">
        <v>3944</v>
      </c>
      <c r="B155" s="1525"/>
      <c r="C155" s="1522" t="s">
        <v>450</v>
      </c>
      <c r="D155" s="1523"/>
      <c r="E155" s="1524"/>
      <c r="F155" s="1109">
        <f>SUM('3d.m.'!G37)</f>
        <v>57365</v>
      </c>
    </row>
    <row r="156" spans="1:6" ht="15">
      <c r="A156" s="1525">
        <v>3302</v>
      </c>
      <c r="B156" s="1525"/>
      <c r="C156" s="1522" t="s">
        <v>930</v>
      </c>
      <c r="D156" s="1523"/>
      <c r="E156" s="1524"/>
      <c r="F156" s="1109">
        <f>SUM('3c.m.'!G346)</f>
        <v>240290</v>
      </c>
    </row>
    <row r="157" spans="1:6" ht="12" customHeight="1">
      <c r="A157" s="1530" t="s">
        <v>931</v>
      </c>
      <c r="B157" s="1556" t="s">
        <v>932</v>
      </c>
      <c r="C157" s="1556"/>
      <c r="D157" s="1556"/>
      <c r="E157" s="1556"/>
      <c r="F157" s="1551">
        <f>SUM(F160)</f>
        <v>7801</v>
      </c>
    </row>
    <row r="158" spans="1:6" ht="12" customHeight="1">
      <c r="A158" s="1530"/>
      <c r="B158" s="1556"/>
      <c r="C158" s="1556"/>
      <c r="D158" s="1556"/>
      <c r="E158" s="1556"/>
      <c r="F158" s="1552"/>
    </row>
    <row r="159" spans="1:6" ht="12" customHeight="1">
      <c r="A159" s="1530"/>
      <c r="B159" s="1556"/>
      <c r="C159" s="1556"/>
      <c r="D159" s="1556"/>
      <c r="E159" s="1556"/>
      <c r="F159" s="1553"/>
    </row>
    <row r="160" spans="1:6" ht="12" customHeight="1">
      <c r="A160" s="1525">
        <v>3357</v>
      </c>
      <c r="B160" s="1525"/>
      <c r="C160" s="1522" t="s">
        <v>933</v>
      </c>
      <c r="D160" s="1523"/>
      <c r="E160" s="1524"/>
      <c r="F160" s="1109">
        <f>SUM('3c.m.'!G601)</f>
        <v>7801</v>
      </c>
    </row>
    <row r="161" spans="1:6" ht="12.75">
      <c r="A161" s="1530" t="s">
        <v>934</v>
      </c>
      <c r="B161" s="1556" t="s">
        <v>935</v>
      </c>
      <c r="C161" s="1556"/>
      <c r="D161" s="1556"/>
      <c r="E161" s="1556"/>
      <c r="F161" s="1551">
        <f>SUM(F164:F164)</f>
        <v>13315</v>
      </c>
    </row>
    <row r="162" spans="1:6" ht="12.75">
      <c r="A162" s="1530"/>
      <c r="B162" s="1556"/>
      <c r="C162" s="1556"/>
      <c r="D162" s="1556"/>
      <c r="E162" s="1556"/>
      <c r="F162" s="1552"/>
    </row>
    <row r="163" spans="1:6" ht="12.75">
      <c r="A163" s="1530"/>
      <c r="B163" s="1556"/>
      <c r="C163" s="1556"/>
      <c r="D163" s="1556"/>
      <c r="E163" s="1556"/>
      <c r="F163" s="1553"/>
    </row>
    <row r="164" spans="1:6" ht="15">
      <c r="A164" s="1525">
        <v>3301</v>
      </c>
      <c r="B164" s="1525"/>
      <c r="C164" s="1522" t="s">
        <v>157</v>
      </c>
      <c r="D164" s="1523"/>
      <c r="E164" s="1524"/>
      <c r="F164" s="1109">
        <f>SUM('3c.m.'!G338)</f>
        <v>13315</v>
      </c>
    </row>
    <row r="165" spans="1:6" ht="12.75">
      <c r="A165" s="1530" t="s">
        <v>937</v>
      </c>
      <c r="B165" s="1556" t="s">
        <v>938</v>
      </c>
      <c r="C165" s="1556"/>
      <c r="D165" s="1556"/>
      <c r="E165" s="1556"/>
      <c r="F165" s="1551">
        <f>SUM(F168)</f>
        <v>20000</v>
      </c>
    </row>
    <row r="166" spans="1:6" ht="12.75">
      <c r="A166" s="1530"/>
      <c r="B166" s="1556"/>
      <c r="C166" s="1556"/>
      <c r="D166" s="1556"/>
      <c r="E166" s="1556"/>
      <c r="F166" s="1552"/>
    </row>
    <row r="167" spans="1:6" ht="12.75">
      <c r="A167" s="1530"/>
      <c r="B167" s="1556"/>
      <c r="C167" s="1556"/>
      <c r="D167" s="1556"/>
      <c r="E167" s="1556"/>
      <c r="F167" s="1553"/>
    </row>
    <row r="168" spans="1:6" ht="15">
      <c r="A168" s="1525">
        <v>3416</v>
      </c>
      <c r="B168" s="1525"/>
      <c r="C168" s="1522" t="s">
        <v>182</v>
      </c>
      <c r="D168" s="1523"/>
      <c r="E168" s="1524"/>
      <c r="F168" s="1109">
        <f>SUM('3c.m.'!G668)</f>
        <v>20000</v>
      </c>
    </row>
    <row r="169" spans="1:6" ht="12.75">
      <c r="A169" s="1530" t="s">
        <v>939</v>
      </c>
      <c r="B169" s="1556" t="s">
        <v>940</v>
      </c>
      <c r="C169" s="1556"/>
      <c r="D169" s="1556"/>
      <c r="E169" s="1556"/>
      <c r="F169" s="1551">
        <f>SUM(F172:F172)</f>
        <v>11315</v>
      </c>
    </row>
    <row r="170" spans="1:6" ht="12.75">
      <c r="A170" s="1530"/>
      <c r="B170" s="1556"/>
      <c r="C170" s="1556"/>
      <c r="D170" s="1556"/>
      <c r="E170" s="1556"/>
      <c r="F170" s="1552"/>
    </row>
    <row r="171" spans="1:6" ht="12.75">
      <c r="A171" s="1530"/>
      <c r="B171" s="1556"/>
      <c r="C171" s="1556"/>
      <c r="D171" s="1556"/>
      <c r="E171" s="1556"/>
      <c r="F171" s="1553"/>
    </row>
    <row r="172" spans="1:6" ht="15">
      <c r="A172" s="1525">
        <v>3413</v>
      </c>
      <c r="B172" s="1525"/>
      <c r="C172" s="1522" t="s">
        <v>146</v>
      </c>
      <c r="D172" s="1523"/>
      <c r="E172" s="1524"/>
      <c r="F172" s="1109">
        <f>SUM('3c.m.'!G643)</f>
        <v>11315</v>
      </c>
    </row>
    <row r="173" spans="1:6" ht="12.75">
      <c r="A173" s="1530" t="s">
        <v>941</v>
      </c>
      <c r="B173" s="1556" t="s">
        <v>942</v>
      </c>
      <c r="C173" s="1556"/>
      <c r="D173" s="1556"/>
      <c r="E173" s="1556"/>
      <c r="F173" s="1551">
        <f>SUM(F176:F178)</f>
        <v>20439</v>
      </c>
    </row>
    <row r="174" spans="1:6" ht="12.75">
      <c r="A174" s="1530"/>
      <c r="B174" s="1556"/>
      <c r="C174" s="1556"/>
      <c r="D174" s="1556"/>
      <c r="E174" s="1556"/>
      <c r="F174" s="1552"/>
    </row>
    <row r="175" spans="1:6" ht="12.75">
      <c r="A175" s="1530"/>
      <c r="B175" s="1556"/>
      <c r="C175" s="1556"/>
      <c r="D175" s="1556"/>
      <c r="E175" s="1556"/>
      <c r="F175" s="1553"/>
    </row>
    <row r="176" spans="1:6" ht="15">
      <c r="A176" s="1525">
        <v>3412</v>
      </c>
      <c r="B176" s="1525"/>
      <c r="C176" s="1522" t="s">
        <v>411</v>
      </c>
      <c r="D176" s="1523"/>
      <c r="E176" s="1524"/>
      <c r="F176" s="1109">
        <f>SUM('3c.m.'!G635)</f>
        <v>12439</v>
      </c>
    </row>
    <row r="177" spans="1:6" ht="15">
      <c r="A177" s="1525">
        <v>3414</v>
      </c>
      <c r="B177" s="1525"/>
      <c r="C177" s="1522" t="s">
        <v>88</v>
      </c>
      <c r="D177" s="1523"/>
      <c r="E177" s="1524"/>
      <c r="F177" s="1109">
        <f>SUM('3c.m.'!G652)</f>
        <v>4000</v>
      </c>
    </row>
    <row r="178" spans="1:6" ht="15">
      <c r="A178" s="1525">
        <v>3415</v>
      </c>
      <c r="B178" s="1525"/>
      <c r="C178" s="1522" t="s">
        <v>63</v>
      </c>
      <c r="D178" s="1523"/>
      <c r="E178" s="1524"/>
      <c r="F178" s="1109">
        <f>SUM('3c.m.'!G660)</f>
        <v>4000</v>
      </c>
    </row>
    <row r="179" spans="1:6" ht="12.75">
      <c r="A179" s="1530" t="s">
        <v>943</v>
      </c>
      <c r="B179" s="1556" t="s">
        <v>944</v>
      </c>
      <c r="C179" s="1556"/>
      <c r="D179" s="1556"/>
      <c r="E179" s="1556"/>
      <c r="F179" s="1551">
        <f>SUM(F182)</f>
        <v>12000</v>
      </c>
    </row>
    <row r="180" spans="1:6" ht="12.75">
      <c r="A180" s="1530"/>
      <c r="B180" s="1556"/>
      <c r="C180" s="1556"/>
      <c r="D180" s="1556"/>
      <c r="E180" s="1556"/>
      <c r="F180" s="1552"/>
    </row>
    <row r="181" spans="1:6" ht="12.75">
      <c r="A181" s="1530"/>
      <c r="B181" s="1556"/>
      <c r="C181" s="1556"/>
      <c r="D181" s="1556"/>
      <c r="E181" s="1556"/>
      <c r="F181" s="1553"/>
    </row>
    <row r="182" spans="1:6" ht="15">
      <c r="A182" s="1525">
        <v>2795</v>
      </c>
      <c r="B182" s="1525"/>
      <c r="C182" s="1522" t="s">
        <v>936</v>
      </c>
      <c r="D182" s="1523"/>
      <c r="E182" s="1524"/>
      <c r="F182" s="1109">
        <v>12000</v>
      </c>
    </row>
    <row r="183" spans="1:6" ht="12.75">
      <c r="A183" s="1530" t="s">
        <v>945</v>
      </c>
      <c r="B183" s="1556" t="s">
        <v>946</v>
      </c>
      <c r="C183" s="1556"/>
      <c r="D183" s="1556"/>
      <c r="E183" s="1556"/>
      <c r="F183" s="1551">
        <f>SUM(F186:F193)</f>
        <v>38617</v>
      </c>
    </row>
    <row r="184" spans="1:6" ht="12.75">
      <c r="A184" s="1530"/>
      <c r="B184" s="1556"/>
      <c r="C184" s="1556"/>
      <c r="D184" s="1556"/>
      <c r="E184" s="1556"/>
      <c r="F184" s="1552"/>
    </row>
    <row r="185" spans="1:6" ht="12.75">
      <c r="A185" s="1530"/>
      <c r="B185" s="1556"/>
      <c r="C185" s="1556"/>
      <c r="D185" s="1556"/>
      <c r="E185" s="1556"/>
      <c r="F185" s="1553"/>
    </row>
    <row r="186" spans="1:6" ht="15">
      <c r="A186" s="1525">
        <v>3421</v>
      </c>
      <c r="B186" s="1525"/>
      <c r="C186" s="1522" t="s">
        <v>426</v>
      </c>
      <c r="D186" s="1523"/>
      <c r="E186" s="1524"/>
      <c r="F186" s="1109">
        <f>SUM('3c.m.'!G677)</f>
        <v>4000</v>
      </c>
    </row>
    <row r="187" spans="1:6" ht="15">
      <c r="A187" s="1525">
        <v>3429</v>
      </c>
      <c r="B187" s="1525"/>
      <c r="C187" s="1522" t="s">
        <v>31</v>
      </c>
      <c r="D187" s="1523"/>
      <c r="E187" s="1524"/>
      <c r="F187" s="1109">
        <f>SUM('3c.m.'!G741)</f>
        <v>2500</v>
      </c>
    </row>
    <row r="188" spans="1:6" ht="15">
      <c r="A188" s="1525">
        <v>3431</v>
      </c>
      <c r="B188" s="1525"/>
      <c r="C188" s="1522" t="s">
        <v>574</v>
      </c>
      <c r="D188" s="1523"/>
      <c r="E188" s="1524"/>
      <c r="F188" s="1109">
        <f>SUM('3c.m.'!G749)</f>
        <v>5000</v>
      </c>
    </row>
    <row r="189" spans="1:6" ht="15">
      <c r="A189" s="1525">
        <v>3432</v>
      </c>
      <c r="B189" s="1525"/>
      <c r="C189" s="1522" t="s">
        <v>947</v>
      </c>
      <c r="D189" s="1523"/>
      <c r="E189" s="1524"/>
      <c r="F189" s="1109">
        <f>SUM('3c.m.'!G749)</f>
        <v>5000</v>
      </c>
    </row>
    <row r="190" spans="1:6" ht="15">
      <c r="A190" s="1525">
        <v>3433</v>
      </c>
      <c r="B190" s="1525"/>
      <c r="C190" s="1522" t="s">
        <v>521</v>
      </c>
      <c r="D190" s="1523"/>
      <c r="E190" s="1524"/>
      <c r="F190" s="1109">
        <f>SUM('3c.m.'!G766)</f>
        <v>3000</v>
      </c>
    </row>
    <row r="191" spans="1:6" ht="15">
      <c r="A191" s="1525">
        <v>3434</v>
      </c>
      <c r="B191" s="1525"/>
      <c r="C191" s="1522" t="s">
        <v>399</v>
      </c>
      <c r="D191" s="1523"/>
      <c r="E191" s="1524"/>
      <c r="F191" s="1109">
        <f>SUM('3c.m.'!G774)</f>
        <v>3000</v>
      </c>
    </row>
    <row r="192" spans="1:6" ht="15">
      <c r="A192" s="1525">
        <v>3435</v>
      </c>
      <c r="B192" s="1525"/>
      <c r="C192" s="1522" t="s">
        <v>400</v>
      </c>
      <c r="D192" s="1523"/>
      <c r="E192" s="1524"/>
      <c r="F192" s="1109">
        <f>SUM('3c.m.'!G782)</f>
        <v>1500</v>
      </c>
    </row>
    <row r="193" spans="1:6" ht="15">
      <c r="A193" s="1525">
        <v>5062</v>
      </c>
      <c r="B193" s="1525"/>
      <c r="C193" s="1522" t="s">
        <v>948</v>
      </c>
      <c r="D193" s="1523"/>
      <c r="E193" s="1524"/>
      <c r="F193" s="1113">
        <f>SUM('5.mell. '!G47)</f>
        <v>14617</v>
      </c>
    </row>
    <row r="194" spans="1:6" ht="12.75">
      <c r="A194" s="1530" t="s">
        <v>949</v>
      </c>
      <c r="B194" s="1556" t="s">
        <v>950</v>
      </c>
      <c r="C194" s="1556"/>
      <c r="D194" s="1556"/>
      <c r="E194" s="1556"/>
      <c r="F194" s="1551">
        <f>SUM(F197:F197)</f>
        <v>155775</v>
      </c>
    </row>
    <row r="195" spans="1:6" ht="12.75">
      <c r="A195" s="1530"/>
      <c r="B195" s="1556"/>
      <c r="C195" s="1556"/>
      <c r="D195" s="1556"/>
      <c r="E195" s="1556"/>
      <c r="F195" s="1552"/>
    </row>
    <row r="196" spans="1:6" ht="12.75">
      <c r="A196" s="1530"/>
      <c r="B196" s="1556"/>
      <c r="C196" s="1556"/>
      <c r="D196" s="1556"/>
      <c r="E196" s="1556"/>
      <c r="F196" s="1553"/>
    </row>
    <row r="197" spans="1:6" ht="15">
      <c r="A197" s="1525">
        <v>2986</v>
      </c>
      <c r="B197" s="1525"/>
      <c r="C197" s="1522" t="s">
        <v>657</v>
      </c>
      <c r="D197" s="1523"/>
      <c r="E197" s="1524"/>
      <c r="F197" s="1109">
        <f>SUM('2.mell'!G607)</f>
        <v>155775</v>
      </c>
    </row>
    <row r="198" spans="1:6" ht="12" customHeight="1">
      <c r="A198" s="1530" t="s">
        <v>951</v>
      </c>
      <c r="B198" s="1556" t="s">
        <v>952</v>
      </c>
      <c r="C198" s="1556"/>
      <c r="D198" s="1556"/>
      <c r="E198" s="1556"/>
      <c r="F198" s="1551">
        <f>SUM(F201)</f>
        <v>171475</v>
      </c>
    </row>
    <row r="199" spans="1:6" ht="12" customHeight="1">
      <c r="A199" s="1530"/>
      <c r="B199" s="1556"/>
      <c r="C199" s="1556"/>
      <c r="D199" s="1556"/>
      <c r="E199" s="1556"/>
      <c r="F199" s="1552"/>
    </row>
    <row r="200" spans="1:6" ht="12" customHeight="1">
      <c r="A200" s="1530"/>
      <c r="B200" s="1556"/>
      <c r="C200" s="1556"/>
      <c r="D200" s="1556"/>
      <c r="E200" s="1556"/>
      <c r="F200" s="1553"/>
    </row>
    <row r="201" spans="1:6" ht="15">
      <c r="A201" s="1525">
        <v>2985</v>
      </c>
      <c r="B201" s="1525"/>
      <c r="C201" s="1522" t="s">
        <v>655</v>
      </c>
      <c r="D201" s="1523"/>
      <c r="E201" s="1524"/>
      <c r="F201" s="1109">
        <v>171475</v>
      </c>
    </row>
    <row r="202" spans="1:6" ht="12.75">
      <c r="A202" s="1530" t="s">
        <v>953</v>
      </c>
      <c r="B202" s="1556" t="s">
        <v>954</v>
      </c>
      <c r="C202" s="1556"/>
      <c r="D202" s="1556"/>
      <c r="E202" s="1556"/>
      <c r="F202" s="1551">
        <f>SUM(F205)</f>
        <v>2344</v>
      </c>
    </row>
    <row r="203" spans="1:6" ht="12.75">
      <c r="A203" s="1530"/>
      <c r="B203" s="1556"/>
      <c r="C203" s="1556"/>
      <c r="D203" s="1556"/>
      <c r="E203" s="1556"/>
      <c r="F203" s="1552"/>
    </row>
    <row r="204" spans="1:6" ht="12.75">
      <c r="A204" s="1530"/>
      <c r="B204" s="1556"/>
      <c r="C204" s="1556"/>
      <c r="D204" s="1556"/>
      <c r="E204" s="1556"/>
      <c r="F204" s="1553"/>
    </row>
    <row r="205" spans="1:6" ht="15">
      <c r="A205" s="1525">
        <v>2985</v>
      </c>
      <c r="B205" s="1525"/>
      <c r="C205" s="1522" t="s">
        <v>655</v>
      </c>
      <c r="D205" s="1523"/>
      <c r="E205" s="1524"/>
      <c r="F205" s="1109">
        <v>2344</v>
      </c>
    </row>
    <row r="206" spans="1:6" ht="12.75">
      <c r="A206" s="1530" t="s">
        <v>955</v>
      </c>
      <c r="B206" s="1556" t="s">
        <v>956</v>
      </c>
      <c r="C206" s="1556"/>
      <c r="D206" s="1556"/>
      <c r="E206" s="1556"/>
      <c r="F206" s="1551">
        <f>SUM(F209:F210)</f>
        <v>11380</v>
      </c>
    </row>
    <row r="207" spans="1:6" ht="12.75">
      <c r="A207" s="1530"/>
      <c r="B207" s="1556"/>
      <c r="C207" s="1556"/>
      <c r="D207" s="1556"/>
      <c r="E207" s="1556"/>
      <c r="F207" s="1552"/>
    </row>
    <row r="208" spans="1:6" ht="12.75">
      <c r="A208" s="1530"/>
      <c r="B208" s="1556"/>
      <c r="C208" s="1556"/>
      <c r="D208" s="1556"/>
      <c r="E208" s="1556"/>
      <c r="F208" s="1553"/>
    </row>
    <row r="209" spans="1:6" ht="15">
      <c r="A209" s="1525">
        <v>2985</v>
      </c>
      <c r="B209" s="1525"/>
      <c r="C209" s="1522" t="s">
        <v>655</v>
      </c>
      <c r="D209" s="1523"/>
      <c r="E209" s="1524"/>
      <c r="F209" s="1109">
        <v>8380</v>
      </c>
    </row>
    <row r="210" spans="1:6" ht="15">
      <c r="A210" s="1525">
        <v>3428</v>
      </c>
      <c r="B210" s="1525"/>
      <c r="C210" s="1522" t="s">
        <v>7</v>
      </c>
      <c r="D210" s="1523"/>
      <c r="E210" s="1524"/>
      <c r="F210" s="1113">
        <f>SUM('3c.m.'!G733)</f>
        <v>3000</v>
      </c>
    </row>
    <row r="211" spans="1:6" ht="12.75">
      <c r="A211" s="1530" t="s">
        <v>957</v>
      </c>
      <c r="B211" s="1556" t="s">
        <v>958</v>
      </c>
      <c r="C211" s="1556"/>
      <c r="D211" s="1556"/>
      <c r="E211" s="1556"/>
      <c r="F211" s="1551">
        <f>SUM(F214:F215)</f>
        <v>79752</v>
      </c>
    </row>
    <row r="212" spans="1:6" ht="12.75">
      <c r="A212" s="1530"/>
      <c r="B212" s="1556"/>
      <c r="C212" s="1556"/>
      <c r="D212" s="1556"/>
      <c r="E212" s="1556"/>
      <c r="F212" s="1552"/>
    </row>
    <row r="213" spans="1:6" ht="12.75">
      <c r="A213" s="1530"/>
      <c r="B213" s="1556"/>
      <c r="C213" s="1556"/>
      <c r="D213" s="1556"/>
      <c r="E213" s="1556"/>
      <c r="F213" s="1553"/>
    </row>
    <row r="214" spans="1:6" ht="15">
      <c r="A214" s="1525">
        <v>2795</v>
      </c>
      <c r="B214" s="1525"/>
      <c r="C214" s="1522" t="s">
        <v>936</v>
      </c>
      <c r="D214" s="1523"/>
      <c r="E214" s="1524"/>
      <c r="F214" s="1114"/>
    </row>
    <row r="215" spans="1:6" ht="15">
      <c r="A215" s="1525">
        <v>3422</v>
      </c>
      <c r="B215" s="1525"/>
      <c r="C215" s="1522" t="s">
        <v>148</v>
      </c>
      <c r="D215" s="1523"/>
      <c r="E215" s="1524"/>
      <c r="F215" s="1109">
        <f>SUM('3c.m.'!G685)</f>
        <v>79752</v>
      </c>
    </row>
    <row r="216" spans="1:6" ht="12" customHeight="1">
      <c r="A216" s="1530" t="s">
        <v>959</v>
      </c>
      <c r="B216" s="1556" t="s">
        <v>960</v>
      </c>
      <c r="C216" s="1556"/>
      <c r="D216" s="1556"/>
      <c r="E216" s="1556"/>
      <c r="F216" s="1551">
        <f>SUM(F219:F220)</f>
        <v>75649</v>
      </c>
    </row>
    <row r="217" spans="1:6" ht="12" customHeight="1">
      <c r="A217" s="1530"/>
      <c r="B217" s="1556"/>
      <c r="C217" s="1556"/>
      <c r="D217" s="1556"/>
      <c r="E217" s="1556"/>
      <c r="F217" s="1552"/>
    </row>
    <row r="218" spans="1:6" ht="12" customHeight="1">
      <c r="A218" s="1530"/>
      <c r="B218" s="1556"/>
      <c r="C218" s="1556"/>
      <c r="D218" s="1556"/>
      <c r="E218" s="1556"/>
      <c r="F218" s="1553"/>
    </row>
    <row r="219" spans="1:6" ht="15">
      <c r="A219" s="1525">
        <v>3360</v>
      </c>
      <c r="B219" s="1525"/>
      <c r="C219" s="1522" t="s">
        <v>410</v>
      </c>
      <c r="D219" s="1523"/>
      <c r="E219" s="1524"/>
      <c r="F219" s="1109">
        <f>SUM('3c.m.'!G617)</f>
        <v>2286</v>
      </c>
    </row>
    <row r="220" spans="1:6" ht="15">
      <c r="A220" s="1525">
        <v>3426</v>
      </c>
      <c r="B220" s="1525"/>
      <c r="C220" s="1522" t="s">
        <v>379</v>
      </c>
      <c r="D220" s="1523"/>
      <c r="E220" s="1524"/>
      <c r="F220" s="1109">
        <f>SUM('3c.m.'!G717)</f>
        <v>73363</v>
      </c>
    </row>
    <row r="221" spans="1:6" ht="12.75">
      <c r="A221" s="1530" t="s">
        <v>961</v>
      </c>
      <c r="B221" s="1556" t="s">
        <v>1088</v>
      </c>
      <c r="C221" s="1556"/>
      <c r="D221" s="1556"/>
      <c r="E221" s="1556"/>
      <c r="F221" s="1551">
        <f>SUM(F224)</f>
        <v>35502</v>
      </c>
    </row>
    <row r="222" spans="1:6" ht="12.75">
      <c r="A222" s="1530"/>
      <c r="B222" s="1556"/>
      <c r="C222" s="1556"/>
      <c r="D222" s="1556"/>
      <c r="E222" s="1556"/>
      <c r="F222" s="1552"/>
    </row>
    <row r="223" spans="1:6" ht="12.75">
      <c r="A223" s="1530"/>
      <c r="B223" s="1556"/>
      <c r="C223" s="1556"/>
      <c r="D223" s="1556"/>
      <c r="E223" s="1556"/>
      <c r="F223" s="1553"/>
    </row>
    <row r="224" spans="1:6" ht="15">
      <c r="A224" s="1525">
        <v>2985</v>
      </c>
      <c r="B224" s="1525"/>
      <c r="C224" s="1522" t="s">
        <v>655</v>
      </c>
      <c r="D224" s="1523"/>
      <c r="E224" s="1524"/>
      <c r="F224" s="1109">
        <v>35502</v>
      </c>
    </row>
    <row r="225" spans="1:6" ht="12.75">
      <c r="A225" s="1530" t="s">
        <v>962</v>
      </c>
      <c r="B225" s="1556" t="s">
        <v>1089</v>
      </c>
      <c r="C225" s="1556"/>
      <c r="D225" s="1556"/>
      <c r="E225" s="1556"/>
      <c r="F225" s="1551">
        <f>SUM(F228)</f>
        <v>4442</v>
      </c>
    </row>
    <row r="226" spans="1:6" ht="12.75">
      <c r="A226" s="1530"/>
      <c r="B226" s="1556"/>
      <c r="C226" s="1556"/>
      <c r="D226" s="1556"/>
      <c r="E226" s="1556"/>
      <c r="F226" s="1552"/>
    </row>
    <row r="227" spans="1:6" ht="12.75">
      <c r="A227" s="1530"/>
      <c r="B227" s="1556"/>
      <c r="C227" s="1556"/>
      <c r="D227" s="1556"/>
      <c r="E227" s="1556"/>
      <c r="F227" s="1553"/>
    </row>
    <row r="228" spans="1:6" ht="15">
      <c r="A228" s="1525">
        <v>3362</v>
      </c>
      <c r="B228" s="1525"/>
      <c r="C228" s="1522" t="s">
        <v>517</v>
      </c>
      <c r="D228" s="1523"/>
      <c r="E228" s="1524"/>
      <c r="F228" s="1109">
        <f>SUM('3c.m.'!G625)</f>
        <v>4442</v>
      </c>
    </row>
    <row r="229" spans="1:6" ht="12.75">
      <c r="A229" s="1530" t="s">
        <v>963</v>
      </c>
      <c r="B229" s="1556" t="s">
        <v>964</v>
      </c>
      <c r="C229" s="1556"/>
      <c r="D229" s="1556"/>
      <c r="E229" s="1556"/>
      <c r="F229" s="1551">
        <f>SUM(F232:F243)</f>
        <v>20532</v>
      </c>
    </row>
    <row r="230" spans="1:6" ht="12.75">
      <c r="A230" s="1530"/>
      <c r="B230" s="1556"/>
      <c r="C230" s="1556"/>
      <c r="D230" s="1556"/>
      <c r="E230" s="1556"/>
      <c r="F230" s="1552"/>
    </row>
    <row r="231" spans="1:6" ht="12.75">
      <c r="A231" s="1530"/>
      <c r="B231" s="1556"/>
      <c r="C231" s="1556"/>
      <c r="D231" s="1556"/>
      <c r="E231" s="1556"/>
      <c r="F231" s="1553"/>
    </row>
    <row r="232" spans="1:6" ht="15">
      <c r="A232" s="1525">
        <v>3451</v>
      </c>
      <c r="B232" s="1525"/>
      <c r="C232" s="1522" t="s">
        <v>140</v>
      </c>
      <c r="D232" s="1523"/>
      <c r="E232" s="1524"/>
      <c r="F232" s="1109">
        <f>SUM('3c.m.'!G790)</f>
        <v>1012</v>
      </c>
    </row>
    <row r="233" spans="1:6" ht="15">
      <c r="A233" s="1525">
        <v>3988</v>
      </c>
      <c r="B233" s="1525"/>
      <c r="C233" s="1522" t="s">
        <v>965</v>
      </c>
      <c r="D233" s="1523"/>
      <c r="E233" s="1524"/>
      <c r="F233" s="1109">
        <f>SUM('3d.m.'!G46)</f>
        <v>800</v>
      </c>
    </row>
    <row r="234" spans="1:6" ht="15">
      <c r="A234" s="1525">
        <v>3989</v>
      </c>
      <c r="B234" s="1525"/>
      <c r="C234" s="1522" t="s">
        <v>377</v>
      </c>
      <c r="D234" s="1523"/>
      <c r="E234" s="1524"/>
      <c r="F234" s="1109">
        <f>SUM('3d.m.'!G47)</f>
        <v>6000</v>
      </c>
    </row>
    <row r="235" spans="1:6" ht="15">
      <c r="A235" s="1525">
        <v>3990</v>
      </c>
      <c r="B235" s="1525"/>
      <c r="C235" s="1522" t="s">
        <v>325</v>
      </c>
      <c r="D235" s="1523"/>
      <c r="E235" s="1524"/>
      <c r="F235" s="1109">
        <f>SUM('3d.m.'!G48)</f>
        <v>1000</v>
      </c>
    </row>
    <row r="236" spans="1:6" ht="15">
      <c r="A236" s="1525">
        <v>3990</v>
      </c>
      <c r="B236" s="1525"/>
      <c r="C236" s="1522" t="s">
        <v>371</v>
      </c>
      <c r="D236" s="1523"/>
      <c r="E236" s="1524"/>
      <c r="F236" s="1109">
        <f>SUM('3d.m.'!G49)</f>
        <v>4820</v>
      </c>
    </row>
    <row r="237" spans="1:6" ht="15">
      <c r="A237" s="1525">
        <v>3992</v>
      </c>
      <c r="B237" s="1525"/>
      <c r="C237" s="1522" t="s">
        <v>326</v>
      </c>
      <c r="D237" s="1523"/>
      <c r="E237" s="1524"/>
      <c r="F237" s="1109">
        <f>SUM('3d.m.'!G50)</f>
        <v>1400</v>
      </c>
    </row>
    <row r="238" spans="1:6" ht="15">
      <c r="A238" s="1525">
        <v>3993</v>
      </c>
      <c r="B238" s="1525"/>
      <c r="C238" s="1522" t="s">
        <v>327</v>
      </c>
      <c r="D238" s="1523"/>
      <c r="E238" s="1524"/>
      <c r="F238" s="1109">
        <f>SUM('3d.m.'!G51)</f>
        <v>900</v>
      </c>
    </row>
    <row r="239" spans="1:6" ht="15">
      <c r="A239" s="1525">
        <v>3994</v>
      </c>
      <c r="B239" s="1525"/>
      <c r="C239" s="1522" t="s">
        <v>108</v>
      </c>
      <c r="D239" s="1523"/>
      <c r="E239" s="1524"/>
      <c r="F239" s="1109">
        <f>SUM('3d.m.'!G52)</f>
        <v>900</v>
      </c>
    </row>
    <row r="240" spans="1:6" ht="15">
      <c r="A240" s="1525">
        <v>3995</v>
      </c>
      <c r="B240" s="1525"/>
      <c r="C240" s="1522" t="s">
        <v>109</v>
      </c>
      <c r="D240" s="1523"/>
      <c r="E240" s="1524"/>
      <c r="F240" s="1109">
        <f>SUM('3d.m.'!G53)</f>
        <v>900</v>
      </c>
    </row>
    <row r="241" spans="1:6" ht="15">
      <c r="A241" s="1525">
        <v>3997</v>
      </c>
      <c r="B241" s="1525"/>
      <c r="C241" s="1522" t="s">
        <v>110</v>
      </c>
      <c r="D241" s="1523"/>
      <c r="E241" s="1524"/>
      <c r="F241" s="1109">
        <f>SUM('3d.m.'!G54)</f>
        <v>900</v>
      </c>
    </row>
    <row r="242" spans="1:6" ht="15">
      <c r="A242" s="1525">
        <v>3998</v>
      </c>
      <c r="B242" s="1525"/>
      <c r="C242" s="1522" t="s">
        <v>111</v>
      </c>
      <c r="D242" s="1523"/>
      <c r="E242" s="1524"/>
      <c r="F242" s="1109">
        <f>SUM('3d.m.'!G55)</f>
        <v>900</v>
      </c>
    </row>
    <row r="243" spans="1:6" ht="15">
      <c r="A243" s="1525">
        <v>3999</v>
      </c>
      <c r="B243" s="1525"/>
      <c r="C243" s="1522" t="s">
        <v>112</v>
      </c>
      <c r="D243" s="1523"/>
      <c r="E243" s="1524"/>
      <c r="F243" s="1109">
        <f>SUM('3d.m.'!G56)</f>
        <v>1000</v>
      </c>
    </row>
    <row r="244" spans="1:6" ht="13.5" customHeight="1">
      <c r="A244" s="1530" t="s">
        <v>966</v>
      </c>
      <c r="B244" s="1556" t="s">
        <v>967</v>
      </c>
      <c r="C244" s="1556"/>
      <c r="D244" s="1556"/>
      <c r="E244" s="1556"/>
      <c r="F244" s="1551">
        <f>SUM(F247:F249)</f>
        <v>307800</v>
      </c>
    </row>
    <row r="245" spans="1:6" s="1170" customFormat="1" ht="12">
      <c r="A245" s="1530"/>
      <c r="B245" s="1556"/>
      <c r="C245" s="1556"/>
      <c r="D245" s="1556"/>
      <c r="E245" s="1556"/>
      <c r="F245" s="1552"/>
    </row>
    <row r="246" spans="1:6" ht="12.75">
      <c r="A246" s="1530"/>
      <c r="B246" s="1556"/>
      <c r="C246" s="1556"/>
      <c r="D246" s="1556"/>
      <c r="E246" s="1556"/>
      <c r="F246" s="1553"/>
    </row>
    <row r="247" spans="1:6" ht="15">
      <c r="A247" s="1525">
        <v>3961</v>
      </c>
      <c r="B247" s="1525"/>
      <c r="C247" s="1522" t="s">
        <v>418</v>
      </c>
      <c r="D247" s="1523"/>
      <c r="E247" s="1524"/>
      <c r="F247" s="1109">
        <f>SUM('3d.m.'!G40)</f>
        <v>215900</v>
      </c>
    </row>
    <row r="248" spans="1:6" ht="15">
      <c r="A248" s="1525">
        <v>3963</v>
      </c>
      <c r="B248" s="1525"/>
      <c r="C248" s="1522" t="s">
        <v>1127</v>
      </c>
      <c r="D248" s="1523"/>
      <c r="E248" s="1524"/>
      <c r="F248" s="1109">
        <f>SUM('3d.m.'!G42)</f>
        <v>41900</v>
      </c>
    </row>
    <row r="249" spans="1:6" ht="15">
      <c r="A249" s="1525">
        <v>3962</v>
      </c>
      <c r="B249" s="1525"/>
      <c r="C249" s="1522" t="s">
        <v>375</v>
      </c>
      <c r="D249" s="1523"/>
      <c r="E249" s="1524"/>
      <c r="F249" s="1109">
        <f>SUM('3d.m.'!G41)</f>
        <v>50000</v>
      </c>
    </row>
    <row r="250" spans="1:6" ht="12" customHeight="1">
      <c r="A250" s="1530" t="s">
        <v>968</v>
      </c>
      <c r="B250" s="1556" t="s">
        <v>1090</v>
      </c>
      <c r="C250" s="1556"/>
      <c r="D250" s="1556"/>
      <c r="E250" s="1556"/>
      <c r="F250" s="1551">
        <f>SUM(F253:F256)</f>
        <v>39250</v>
      </c>
    </row>
    <row r="251" spans="1:6" ht="12" customHeight="1">
      <c r="A251" s="1530"/>
      <c r="B251" s="1556"/>
      <c r="C251" s="1556"/>
      <c r="D251" s="1556"/>
      <c r="E251" s="1556"/>
      <c r="F251" s="1552"/>
    </row>
    <row r="252" spans="1:6" ht="12" customHeight="1">
      <c r="A252" s="1530"/>
      <c r="B252" s="1556"/>
      <c r="C252" s="1556"/>
      <c r="D252" s="1556"/>
      <c r="E252" s="1556"/>
      <c r="F252" s="1553"/>
    </row>
    <row r="253" spans="1:6" ht="15">
      <c r="A253" s="1525">
        <v>3922</v>
      </c>
      <c r="B253" s="1525"/>
      <c r="C253" s="1522" t="s">
        <v>519</v>
      </c>
      <c r="D253" s="1523"/>
      <c r="E253" s="1524"/>
      <c r="F253" s="1109">
        <f>SUM('3d.m.'!G13)</f>
        <v>5000</v>
      </c>
    </row>
    <row r="254" spans="1:6" ht="15">
      <c r="A254" s="1525">
        <v>3931</v>
      </c>
      <c r="B254" s="1525"/>
      <c r="C254" s="1522" t="s">
        <v>164</v>
      </c>
      <c r="D254" s="1523"/>
      <c r="E254" s="1524"/>
      <c r="F254" s="1109">
        <f>SUM('3d.m.'!G26)</f>
        <v>5000</v>
      </c>
    </row>
    <row r="255" spans="1:6" ht="15">
      <c r="A255" s="1525">
        <v>3932</v>
      </c>
      <c r="B255" s="1525"/>
      <c r="C255" s="1522" t="s">
        <v>197</v>
      </c>
      <c r="D255" s="1523"/>
      <c r="E255" s="1524"/>
      <c r="F255" s="1109">
        <f>SUM('3d.m.'!G27)</f>
        <v>12500</v>
      </c>
    </row>
    <row r="256" spans="1:6" ht="15">
      <c r="A256" s="1525">
        <v>3972</v>
      </c>
      <c r="B256" s="1525"/>
      <c r="C256" s="1522" t="s">
        <v>969</v>
      </c>
      <c r="D256" s="1523"/>
      <c r="E256" s="1524"/>
      <c r="F256" s="1109">
        <f>SUM('3d.m.'!G43)</f>
        <v>16750</v>
      </c>
    </row>
    <row r="257" spans="1:6" ht="12.75">
      <c r="A257" s="1530" t="s">
        <v>970</v>
      </c>
      <c r="B257" s="1556" t="s">
        <v>971</v>
      </c>
      <c r="C257" s="1556"/>
      <c r="D257" s="1556"/>
      <c r="E257" s="1556"/>
      <c r="F257" s="1551">
        <f>SUM(F260:F262)</f>
        <v>36515</v>
      </c>
    </row>
    <row r="258" spans="1:6" ht="12.75">
      <c r="A258" s="1530"/>
      <c r="B258" s="1556"/>
      <c r="C258" s="1556"/>
      <c r="D258" s="1556"/>
      <c r="E258" s="1556"/>
      <c r="F258" s="1552"/>
    </row>
    <row r="259" spans="1:6" ht="12.75">
      <c r="A259" s="1530"/>
      <c r="B259" s="1556"/>
      <c r="C259" s="1556"/>
      <c r="D259" s="1556"/>
      <c r="E259" s="1556"/>
      <c r="F259" s="1553"/>
    </row>
    <row r="260" spans="1:6" ht="15">
      <c r="A260" s="1525">
        <v>3146</v>
      </c>
      <c r="B260" s="1525"/>
      <c r="C260" s="1522" t="s">
        <v>516</v>
      </c>
      <c r="D260" s="1523"/>
      <c r="E260" s="1524"/>
      <c r="F260" s="1109">
        <f>SUM('3c.m.'!G186)</f>
        <v>10515</v>
      </c>
    </row>
    <row r="261" spans="1:6" ht="15">
      <c r="A261" s="1525">
        <v>3921</v>
      </c>
      <c r="B261" s="1525"/>
      <c r="C261" s="1522" t="s">
        <v>520</v>
      </c>
      <c r="D261" s="1523"/>
      <c r="E261" s="1524"/>
      <c r="F261" s="1109">
        <f>SUM('3d.m.'!G12)</f>
        <v>6000</v>
      </c>
    </row>
    <row r="262" spans="1:6" ht="15">
      <c r="A262" s="1525">
        <v>3929</v>
      </c>
      <c r="B262" s="1525"/>
      <c r="C262" s="1522" t="s">
        <v>972</v>
      </c>
      <c r="D262" s="1523"/>
      <c r="E262" s="1524"/>
      <c r="F262" s="1109">
        <f>SUM('3d.m.'!G23)</f>
        <v>20000</v>
      </c>
    </row>
    <row r="263" spans="1:6" ht="12.75">
      <c r="A263" s="1530" t="s">
        <v>973</v>
      </c>
      <c r="B263" s="1556" t="s">
        <v>974</v>
      </c>
      <c r="C263" s="1556"/>
      <c r="D263" s="1556"/>
      <c r="E263" s="1556"/>
      <c r="F263" s="1551">
        <f>SUM(F266)</f>
        <v>5143</v>
      </c>
    </row>
    <row r="264" spans="1:6" ht="12.75">
      <c r="A264" s="1530"/>
      <c r="B264" s="1556"/>
      <c r="C264" s="1556"/>
      <c r="D264" s="1556"/>
      <c r="E264" s="1556"/>
      <c r="F264" s="1552"/>
    </row>
    <row r="265" spans="1:6" ht="12.75">
      <c r="A265" s="1530"/>
      <c r="B265" s="1556"/>
      <c r="C265" s="1556"/>
      <c r="D265" s="1556"/>
      <c r="E265" s="1556"/>
      <c r="F265" s="1553"/>
    </row>
    <row r="266" spans="1:6" ht="15">
      <c r="A266" s="1525">
        <v>3145</v>
      </c>
      <c r="B266" s="1525"/>
      <c r="C266" s="1522" t="s">
        <v>975</v>
      </c>
      <c r="D266" s="1523"/>
      <c r="E266" s="1524"/>
      <c r="F266" s="1109">
        <f>SUM('3c.m.'!G177)</f>
        <v>5143</v>
      </c>
    </row>
    <row r="267" spans="1:6" ht="12.75">
      <c r="A267" s="1530" t="s">
        <v>976</v>
      </c>
      <c r="B267" s="1556" t="s">
        <v>977</v>
      </c>
      <c r="C267" s="1556"/>
      <c r="D267" s="1556"/>
      <c r="E267" s="1556"/>
      <c r="F267" s="1551">
        <f>SUM(F270)</f>
        <v>14110</v>
      </c>
    </row>
    <row r="268" spans="1:6" ht="12.75">
      <c r="A268" s="1530"/>
      <c r="B268" s="1556"/>
      <c r="C268" s="1556"/>
      <c r="D268" s="1556"/>
      <c r="E268" s="1556"/>
      <c r="F268" s="1552"/>
    </row>
    <row r="269" spans="1:6" ht="12.75">
      <c r="A269" s="1530"/>
      <c r="B269" s="1556"/>
      <c r="C269" s="1556"/>
      <c r="D269" s="1556"/>
      <c r="E269" s="1556"/>
      <c r="F269" s="1553"/>
    </row>
    <row r="270" spans="1:6" ht="15">
      <c r="A270" s="1525">
        <v>3423</v>
      </c>
      <c r="B270" s="1525"/>
      <c r="C270" s="1522" t="s">
        <v>147</v>
      </c>
      <c r="D270" s="1523"/>
      <c r="E270" s="1524"/>
      <c r="F270" s="1109">
        <f>SUM('3c.m.'!G693)</f>
        <v>14110</v>
      </c>
    </row>
    <row r="271" spans="1:6" ht="12.75">
      <c r="A271" s="1530" t="s">
        <v>978</v>
      </c>
      <c r="B271" s="1556" t="s">
        <v>979</v>
      </c>
      <c r="C271" s="1556"/>
      <c r="D271" s="1556"/>
      <c r="E271" s="1556"/>
      <c r="F271" s="1551">
        <f>SUM(F274)</f>
        <v>1084879</v>
      </c>
    </row>
    <row r="272" spans="1:6" ht="12.75">
      <c r="A272" s="1530"/>
      <c r="B272" s="1556"/>
      <c r="C272" s="1556"/>
      <c r="D272" s="1556"/>
      <c r="E272" s="1556"/>
      <c r="F272" s="1552"/>
    </row>
    <row r="273" spans="1:6" ht="12.75">
      <c r="A273" s="1530"/>
      <c r="B273" s="1556"/>
      <c r="C273" s="1556"/>
      <c r="D273" s="1556"/>
      <c r="E273" s="1556"/>
      <c r="F273" s="1553"/>
    </row>
    <row r="274" spans="1:7" ht="15">
      <c r="A274" s="1525">
        <v>2499</v>
      </c>
      <c r="B274" s="1525"/>
      <c r="C274" s="1522" t="s">
        <v>980</v>
      </c>
      <c r="D274" s="1523"/>
      <c r="E274" s="1524"/>
      <c r="F274" s="1109">
        <v>1084879</v>
      </c>
      <c r="G274" s="59"/>
    </row>
    <row r="275" spans="1:6" ht="15">
      <c r="A275" s="1119"/>
      <c r="B275" s="1119"/>
      <c r="C275" s="1073"/>
      <c r="D275" s="1074"/>
      <c r="E275" s="1075"/>
      <c r="F275" s="1113"/>
    </row>
    <row r="276" spans="1:6" ht="12.75">
      <c r="A276" s="1530" t="s">
        <v>981</v>
      </c>
      <c r="B276" s="1556" t="s">
        <v>982</v>
      </c>
      <c r="C276" s="1556"/>
      <c r="D276" s="1556"/>
      <c r="E276" s="1556"/>
      <c r="F276" s="1551">
        <f>SUM(F279:F279)</f>
        <v>70774</v>
      </c>
    </row>
    <row r="277" spans="1:6" ht="12.75">
      <c r="A277" s="1530"/>
      <c r="B277" s="1556"/>
      <c r="C277" s="1556"/>
      <c r="D277" s="1556"/>
      <c r="E277" s="1556"/>
      <c r="F277" s="1552"/>
    </row>
    <row r="278" spans="1:6" ht="12.75">
      <c r="A278" s="1530"/>
      <c r="B278" s="1556"/>
      <c r="C278" s="1556"/>
      <c r="D278" s="1556"/>
      <c r="E278" s="1556"/>
      <c r="F278" s="1553"/>
    </row>
    <row r="279" spans="1:6" ht="15">
      <c r="A279" s="1525">
        <v>2499</v>
      </c>
      <c r="B279" s="1525"/>
      <c r="C279" s="1522" t="s">
        <v>980</v>
      </c>
      <c r="D279" s="1523"/>
      <c r="E279" s="1524"/>
      <c r="F279" s="1109">
        <v>70774</v>
      </c>
    </row>
    <row r="280" spans="1:6" ht="12.75">
      <c r="A280" s="1530" t="s">
        <v>983</v>
      </c>
      <c r="B280" s="1556" t="s">
        <v>984</v>
      </c>
      <c r="C280" s="1556"/>
      <c r="D280" s="1556"/>
      <c r="E280" s="1556"/>
      <c r="F280" s="1551">
        <f>SUM(F283)</f>
        <v>8500</v>
      </c>
    </row>
    <row r="281" spans="1:6" ht="12.75">
      <c r="A281" s="1530"/>
      <c r="B281" s="1556"/>
      <c r="C281" s="1556"/>
      <c r="D281" s="1556"/>
      <c r="E281" s="1556"/>
      <c r="F281" s="1552"/>
    </row>
    <row r="282" spans="1:6" ht="12.75">
      <c r="A282" s="1530"/>
      <c r="B282" s="1556"/>
      <c r="C282" s="1556"/>
      <c r="D282" s="1556"/>
      <c r="E282" s="1556"/>
      <c r="F282" s="1553"/>
    </row>
    <row r="283" spans="1:6" ht="15">
      <c r="A283" s="1525">
        <v>3141</v>
      </c>
      <c r="B283" s="1525"/>
      <c r="C283" s="1522" t="s">
        <v>985</v>
      </c>
      <c r="D283" s="1523"/>
      <c r="E283" s="1524"/>
      <c r="F283" s="1109">
        <f>SUM('3c.m.'!G144)</f>
        <v>8500</v>
      </c>
    </row>
    <row r="284" spans="1:6" ht="12" customHeight="1">
      <c r="A284" s="1539" t="s">
        <v>986</v>
      </c>
      <c r="B284" s="1542" t="s">
        <v>1067</v>
      </c>
      <c r="C284" s="1543"/>
      <c r="D284" s="1543"/>
      <c r="E284" s="1544"/>
      <c r="F284" s="1551">
        <f>SUM(F287:F287)</f>
        <v>575819</v>
      </c>
    </row>
    <row r="285" spans="1:6" ht="12" customHeight="1">
      <c r="A285" s="1540"/>
      <c r="B285" s="1545"/>
      <c r="C285" s="1546"/>
      <c r="D285" s="1546"/>
      <c r="E285" s="1547"/>
      <c r="F285" s="1554"/>
    </row>
    <row r="286" spans="1:6" ht="12" customHeight="1">
      <c r="A286" s="1541"/>
      <c r="B286" s="1548"/>
      <c r="C286" s="1549"/>
      <c r="D286" s="1549"/>
      <c r="E286" s="1550"/>
      <c r="F286" s="1555"/>
    </row>
    <row r="287" spans="1:6" ht="15">
      <c r="A287" s="1557">
        <v>2795</v>
      </c>
      <c r="B287" s="1558"/>
      <c r="C287" s="1522" t="s">
        <v>936</v>
      </c>
      <c r="D287" s="1523"/>
      <c r="E287" s="1524"/>
      <c r="F287" s="1109">
        <v>575819</v>
      </c>
    </row>
    <row r="288" spans="1:6" ht="12.75">
      <c r="A288" s="1530" t="s">
        <v>987</v>
      </c>
      <c r="B288" s="1556" t="s">
        <v>988</v>
      </c>
      <c r="C288" s="1556"/>
      <c r="D288" s="1556"/>
      <c r="E288" s="1556"/>
      <c r="F288" s="1551">
        <f>SUM(F291:F293)</f>
        <v>30444</v>
      </c>
    </row>
    <row r="289" spans="1:6" ht="12.75">
      <c r="A289" s="1530"/>
      <c r="B289" s="1556"/>
      <c r="C289" s="1556"/>
      <c r="D289" s="1556"/>
      <c r="E289" s="1556"/>
      <c r="F289" s="1552"/>
    </row>
    <row r="290" spans="1:6" ht="12.75">
      <c r="A290" s="1530"/>
      <c r="B290" s="1556"/>
      <c r="C290" s="1556"/>
      <c r="D290" s="1556"/>
      <c r="E290" s="1556"/>
      <c r="F290" s="1553"/>
    </row>
    <row r="291" spans="1:6" ht="15">
      <c r="A291" s="1525">
        <v>3142</v>
      </c>
      <c r="B291" s="1525"/>
      <c r="C291" s="1522" t="s">
        <v>30</v>
      </c>
      <c r="D291" s="1523"/>
      <c r="E291" s="1524"/>
      <c r="F291" s="1109">
        <f>SUM('3c.m.'!G153)</f>
        <v>13554</v>
      </c>
    </row>
    <row r="292" spans="1:6" ht="15">
      <c r="A292" s="1525">
        <v>3143</v>
      </c>
      <c r="B292" s="1525"/>
      <c r="C292" s="1522" t="s">
        <v>40</v>
      </c>
      <c r="D292" s="1523"/>
      <c r="E292" s="1524"/>
      <c r="F292" s="1109">
        <f>SUM('3c.m.'!G161)</f>
        <v>11890</v>
      </c>
    </row>
    <row r="293" spans="1:6" ht="15">
      <c r="A293" s="1525">
        <v>3934</v>
      </c>
      <c r="B293" s="1525"/>
      <c r="C293" s="1522" t="s">
        <v>448</v>
      </c>
      <c r="D293" s="1523"/>
      <c r="E293" s="1524"/>
      <c r="F293" s="1113">
        <f>SUM('3d.m.'!G28)</f>
        <v>5000</v>
      </c>
    </row>
    <row r="294" spans="1:6" ht="12.75">
      <c r="A294" s="1530" t="s">
        <v>989</v>
      </c>
      <c r="B294" s="1556" t="s">
        <v>990</v>
      </c>
      <c r="C294" s="1556"/>
      <c r="D294" s="1556"/>
      <c r="E294" s="1556"/>
      <c r="F294" s="1551">
        <f>SUM(F297)</f>
        <v>3360</v>
      </c>
    </row>
    <row r="295" spans="1:6" ht="12.75">
      <c r="A295" s="1530"/>
      <c r="B295" s="1556"/>
      <c r="C295" s="1556"/>
      <c r="D295" s="1556"/>
      <c r="E295" s="1556"/>
      <c r="F295" s="1552"/>
    </row>
    <row r="296" spans="1:6" ht="12.75">
      <c r="A296" s="1530"/>
      <c r="B296" s="1556"/>
      <c r="C296" s="1556"/>
      <c r="D296" s="1556"/>
      <c r="E296" s="1556"/>
      <c r="F296" s="1553"/>
    </row>
    <row r="297" spans="1:6" ht="15">
      <c r="A297" s="1525">
        <v>3349</v>
      </c>
      <c r="B297" s="1525"/>
      <c r="C297" s="1522" t="s">
        <v>991</v>
      </c>
      <c r="D297" s="1523"/>
      <c r="E297" s="1524"/>
      <c r="F297" s="1109">
        <f>SUM('3c.m.'!G552)</f>
        <v>3360</v>
      </c>
    </row>
    <row r="298" spans="1:6" ht="12.75">
      <c r="A298" s="1530" t="s">
        <v>992</v>
      </c>
      <c r="B298" s="1556" t="s">
        <v>993</v>
      </c>
      <c r="C298" s="1556"/>
      <c r="D298" s="1556"/>
      <c r="E298" s="1556"/>
      <c r="F298" s="1551">
        <f>SUM(F301:F301)</f>
        <v>400</v>
      </c>
    </row>
    <row r="299" spans="1:6" ht="12.75">
      <c r="A299" s="1530"/>
      <c r="B299" s="1556"/>
      <c r="C299" s="1556"/>
      <c r="D299" s="1556"/>
      <c r="E299" s="1556"/>
      <c r="F299" s="1552"/>
    </row>
    <row r="300" spans="1:6" ht="12.75">
      <c r="A300" s="1530"/>
      <c r="B300" s="1556"/>
      <c r="C300" s="1556"/>
      <c r="D300" s="1556"/>
      <c r="E300" s="1556"/>
      <c r="F300" s="1553"/>
    </row>
    <row r="301" spans="1:6" ht="15">
      <c r="A301" s="1525">
        <v>3348</v>
      </c>
      <c r="B301" s="1525"/>
      <c r="C301" s="1522" t="s">
        <v>183</v>
      </c>
      <c r="D301" s="1523"/>
      <c r="E301" s="1524"/>
      <c r="F301" s="1109">
        <f>SUM('3c.m.'!G544)</f>
        <v>400</v>
      </c>
    </row>
    <row r="302" spans="1:6" ht="12.75">
      <c r="A302" s="1530" t="s">
        <v>994</v>
      </c>
      <c r="B302" s="1556" t="s">
        <v>995</v>
      </c>
      <c r="C302" s="1556"/>
      <c r="D302" s="1556"/>
      <c r="E302" s="1556"/>
      <c r="F302" s="1551">
        <f>SUM(F305:F307)</f>
        <v>5056</v>
      </c>
    </row>
    <row r="303" spans="1:6" ht="12.75">
      <c r="A303" s="1530"/>
      <c r="B303" s="1556"/>
      <c r="C303" s="1556"/>
      <c r="D303" s="1556"/>
      <c r="E303" s="1556"/>
      <c r="F303" s="1552"/>
    </row>
    <row r="304" spans="1:6" ht="12.75">
      <c r="A304" s="1530"/>
      <c r="B304" s="1556"/>
      <c r="C304" s="1556"/>
      <c r="D304" s="1556"/>
      <c r="E304" s="1556"/>
      <c r="F304" s="1553"/>
    </row>
    <row r="305" spans="1:6" ht="15">
      <c r="A305" s="1525">
        <v>3341</v>
      </c>
      <c r="B305" s="1525"/>
      <c r="C305" s="1522" t="s">
        <v>409</v>
      </c>
      <c r="D305" s="1523"/>
      <c r="E305" s="1524"/>
      <c r="F305" s="1109">
        <f>SUM('3c.m.'!G487)</f>
        <v>1736</v>
      </c>
    </row>
    <row r="306" spans="1:6" ht="15">
      <c r="A306" s="1525">
        <v>3342</v>
      </c>
      <c r="B306" s="1525"/>
      <c r="C306" s="1522" t="s">
        <v>503</v>
      </c>
      <c r="D306" s="1523"/>
      <c r="E306" s="1524"/>
      <c r="F306" s="1109">
        <f>SUM('3c.m.'!G496)</f>
        <v>1320</v>
      </c>
    </row>
    <row r="307" spans="1:6" ht="15">
      <c r="A307" s="1525">
        <v>3347</v>
      </c>
      <c r="B307" s="1525"/>
      <c r="C307" s="1522" t="s">
        <v>123</v>
      </c>
      <c r="D307" s="1523"/>
      <c r="E307" s="1524"/>
      <c r="F307" s="1109">
        <f>SUM('3c.m.'!G536)</f>
        <v>2000</v>
      </c>
    </row>
    <row r="308" spans="1:6" ht="12.75">
      <c r="A308" s="1530" t="s">
        <v>996</v>
      </c>
      <c r="B308" s="1556" t="s">
        <v>997</v>
      </c>
      <c r="C308" s="1556"/>
      <c r="D308" s="1556"/>
      <c r="E308" s="1556"/>
      <c r="F308" s="1551">
        <f>SUM(F311)</f>
        <v>300</v>
      </c>
    </row>
    <row r="309" spans="1:6" ht="12.75">
      <c r="A309" s="1530"/>
      <c r="B309" s="1556"/>
      <c r="C309" s="1556"/>
      <c r="D309" s="1556"/>
      <c r="E309" s="1556"/>
      <c r="F309" s="1552"/>
    </row>
    <row r="310" spans="1:6" ht="12.75">
      <c r="A310" s="1530"/>
      <c r="B310" s="1556"/>
      <c r="C310" s="1556"/>
      <c r="D310" s="1556"/>
      <c r="E310" s="1556"/>
      <c r="F310" s="1553"/>
    </row>
    <row r="311" spans="1:6" ht="15">
      <c r="A311" s="1525">
        <v>3345</v>
      </c>
      <c r="B311" s="1525"/>
      <c r="C311" s="1522" t="s">
        <v>998</v>
      </c>
      <c r="D311" s="1523"/>
      <c r="E311" s="1524"/>
      <c r="F311" s="1109">
        <f>SUM('3c.m.'!G520)</f>
        <v>300</v>
      </c>
    </row>
    <row r="312" spans="1:6" ht="12.75">
      <c r="A312" s="1530" t="s">
        <v>999</v>
      </c>
      <c r="B312" s="1556" t="s">
        <v>1000</v>
      </c>
      <c r="C312" s="1556"/>
      <c r="D312" s="1556"/>
      <c r="E312" s="1556"/>
      <c r="F312" s="1551">
        <f>SUM(F315)</f>
        <v>829336</v>
      </c>
    </row>
    <row r="313" spans="1:6" ht="12.75">
      <c r="A313" s="1530"/>
      <c r="B313" s="1556"/>
      <c r="C313" s="1556"/>
      <c r="D313" s="1556"/>
      <c r="E313" s="1556"/>
      <c r="F313" s="1552"/>
    </row>
    <row r="314" spans="1:6" ht="12.75">
      <c r="A314" s="1530"/>
      <c r="B314" s="1556"/>
      <c r="C314" s="1556"/>
      <c r="D314" s="1556"/>
      <c r="E314" s="1556"/>
      <c r="F314" s="1553"/>
    </row>
    <row r="315" spans="1:6" ht="15">
      <c r="A315" s="1525">
        <v>2875</v>
      </c>
      <c r="B315" s="1525"/>
      <c r="C315" s="1522" t="s">
        <v>324</v>
      </c>
      <c r="D315" s="1523"/>
      <c r="E315" s="1524"/>
      <c r="F315" s="1109">
        <v>829336</v>
      </c>
    </row>
    <row r="316" spans="1:6" ht="12.75">
      <c r="A316" s="1530" t="s">
        <v>1001</v>
      </c>
      <c r="B316" s="1556" t="s">
        <v>1002</v>
      </c>
      <c r="C316" s="1556"/>
      <c r="D316" s="1556"/>
      <c r="E316" s="1556"/>
      <c r="F316" s="1551">
        <f>SUM(F319)</f>
        <v>14029</v>
      </c>
    </row>
    <row r="317" spans="1:6" ht="12.75">
      <c r="A317" s="1530"/>
      <c r="B317" s="1556"/>
      <c r="C317" s="1556"/>
      <c r="D317" s="1556"/>
      <c r="E317" s="1556"/>
      <c r="F317" s="1552"/>
    </row>
    <row r="318" spans="1:6" ht="12.75">
      <c r="A318" s="1530"/>
      <c r="B318" s="1556"/>
      <c r="C318" s="1556"/>
      <c r="D318" s="1556"/>
      <c r="E318" s="1556"/>
      <c r="F318" s="1553"/>
    </row>
    <row r="319" spans="1:6" ht="15">
      <c r="A319" s="1525">
        <v>3355</v>
      </c>
      <c r="B319" s="1525"/>
      <c r="C319" s="1522" t="s">
        <v>41</v>
      </c>
      <c r="D319" s="1523"/>
      <c r="E319" s="1524"/>
      <c r="F319" s="1109">
        <f>SUM('3c.m.'!G585)</f>
        <v>14029</v>
      </c>
    </row>
    <row r="320" spans="1:6" ht="12" customHeight="1">
      <c r="A320" s="1530" t="s">
        <v>1003</v>
      </c>
      <c r="B320" s="1556" t="s">
        <v>1004</v>
      </c>
      <c r="C320" s="1556"/>
      <c r="D320" s="1556"/>
      <c r="E320" s="1556"/>
      <c r="F320" s="1551">
        <f>SUM(F323)</f>
        <v>570428</v>
      </c>
    </row>
    <row r="321" spans="1:6" ht="12" customHeight="1">
      <c r="A321" s="1530"/>
      <c r="B321" s="1556"/>
      <c r="C321" s="1556"/>
      <c r="D321" s="1556"/>
      <c r="E321" s="1556"/>
      <c r="F321" s="1552"/>
    </row>
    <row r="322" spans="1:6" ht="12" customHeight="1">
      <c r="A322" s="1530"/>
      <c r="B322" s="1556"/>
      <c r="C322" s="1556"/>
      <c r="D322" s="1556"/>
      <c r="E322" s="1556"/>
      <c r="F322" s="1553"/>
    </row>
    <row r="323" spans="1:6" ht="15">
      <c r="A323" s="1525">
        <v>2850</v>
      </c>
      <c r="B323" s="1525"/>
      <c r="C323" s="1522" t="s">
        <v>1005</v>
      </c>
      <c r="D323" s="1523"/>
      <c r="E323" s="1524"/>
      <c r="F323" s="1109">
        <v>570428</v>
      </c>
    </row>
    <row r="324" spans="1:6" ht="12.75">
      <c r="A324" s="1530" t="s">
        <v>1006</v>
      </c>
      <c r="B324" s="1556" t="s">
        <v>1091</v>
      </c>
      <c r="C324" s="1556"/>
      <c r="D324" s="1556"/>
      <c r="E324" s="1556"/>
      <c r="F324" s="1551">
        <f>SUM(F327)</f>
        <v>28519</v>
      </c>
    </row>
    <row r="325" spans="1:6" ht="12.75">
      <c r="A325" s="1530"/>
      <c r="B325" s="1556"/>
      <c r="C325" s="1556"/>
      <c r="D325" s="1556"/>
      <c r="E325" s="1556"/>
      <c r="F325" s="1552"/>
    </row>
    <row r="326" spans="1:6" ht="12.75">
      <c r="A326" s="1530"/>
      <c r="B326" s="1556"/>
      <c r="C326" s="1556"/>
      <c r="D326" s="1556"/>
      <c r="E326" s="1556"/>
      <c r="F326" s="1553"/>
    </row>
    <row r="327" spans="1:6" ht="15">
      <c r="A327" s="1525">
        <v>2850</v>
      </c>
      <c r="B327" s="1525"/>
      <c r="C327" s="1522" t="s">
        <v>1005</v>
      </c>
      <c r="D327" s="1523"/>
      <c r="E327" s="1524"/>
      <c r="F327" s="1109">
        <v>28519</v>
      </c>
    </row>
    <row r="328" spans="1:6" ht="12.75">
      <c r="A328" s="1530" t="s">
        <v>1007</v>
      </c>
      <c r="B328" s="1556" t="s">
        <v>1092</v>
      </c>
      <c r="C328" s="1556"/>
      <c r="D328" s="1556"/>
      <c r="E328" s="1556"/>
      <c r="F328" s="1551">
        <f>SUM(F331)</f>
        <v>5217</v>
      </c>
    </row>
    <row r="329" spans="1:6" ht="12.75">
      <c r="A329" s="1530"/>
      <c r="B329" s="1556"/>
      <c r="C329" s="1556"/>
      <c r="D329" s="1556"/>
      <c r="E329" s="1556"/>
      <c r="F329" s="1552"/>
    </row>
    <row r="330" spans="1:6" ht="12.75">
      <c r="A330" s="1530"/>
      <c r="B330" s="1556"/>
      <c r="C330" s="1556"/>
      <c r="D330" s="1556"/>
      <c r="E330" s="1556"/>
      <c r="F330" s="1553"/>
    </row>
    <row r="331" spans="1:6" ht="15">
      <c r="A331" s="1525">
        <v>2850</v>
      </c>
      <c r="B331" s="1525"/>
      <c r="C331" s="1522" t="s">
        <v>1005</v>
      </c>
      <c r="D331" s="1523"/>
      <c r="E331" s="1524"/>
      <c r="F331" s="1109">
        <v>5217</v>
      </c>
    </row>
    <row r="332" spans="1:6" ht="12.75">
      <c r="A332" s="1530" t="s">
        <v>1008</v>
      </c>
      <c r="B332" s="1556" t="s">
        <v>1009</v>
      </c>
      <c r="C332" s="1556"/>
      <c r="D332" s="1556"/>
      <c r="E332" s="1556"/>
      <c r="F332" s="1551">
        <f>SUM(F335:F338)</f>
        <v>19067</v>
      </c>
    </row>
    <row r="333" spans="1:6" ht="12.75">
      <c r="A333" s="1530"/>
      <c r="B333" s="1556"/>
      <c r="C333" s="1556"/>
      <c r="D333" s="1556"/>
      <c r="E333" s="1556"/>
      <c r="F333" s="1552"/>
    </row>
    <row r="334" spans="1:6" ht="12.75">
      <c r="A334" s="1530"/>
      <c r="B334" s="1556"/>
      <c r="C334" s="1556"/>
      <c r="D334" s="1556"/>
      <c r="E334" s="1556"/>
      <c r="F334" s="1553"/>
    </row>
    <row r="335" spans="1:6" ht="15">
      <c r="A335" s="1525">
        <v>3307</v>
      </c>
      <c r="B335" s="1525"/>
      <c r="C335" s="1522" t="s">
        <v>213</v>
      </c>
      <c r="D335" s="1523"/>
      <c r="E335" s="1524"/>
      <c r="F335" s="1109">
        <f>SUM('3c.m.'!G373)</f>
        <v>4000</v>
      </c>
    </row>
    <row r="336" spans="1:6" ht="15">
      <c r="A336" s="1525">
        <v>3319</v>
      </c>
      <c r="B336" s="1525"/>
      <c r="C336" s="1522" t="s">
        <v>17</v>
      </c>
      <c r="D336" s="1523"/>
      <c r="E336" s="1524"/>
      <c r="F336" s="1109">
        <f>SUM('3c.m.'!G438)</f>
        <v>6564</v>
      </c>
    </row>
    <row r="337" spans="1:6" ht="15">
      <c r="A337" s="1525">
        <v>3320</v>
      </c>
      <c r="B337" s="1525"/>
      <c r="C337" s="1522" t="s">
        <v>8</v>
      </c>
      <c r="D337" s="1523"/>
      <c r="E337" s="1524"/>
      <c r="F337" s="1109">
        <f>SUM('3c.m.'!G447)</f>
        <v>1003</v>
      </c>
    </row>
    <row r="338" spans="1:6" ht="15">
      <c r="A338" s="1557">
        <v>3323</v>
      </c>
      <c r="B338" s="1558"/>
      <c r="C338" s="1522" t="s">
        <v>378</v>
      </c>
      <c r="D338" s="1523"/>
      <c r="E338" s="1524"/>
      <c r="F338" s="1109">
        <f>SUM('3c.m.'!G463)</f>
        <v>7500</v>
      </c>
    </row>
    <row r="339" spans="1:6" ht="12.75">
      <c r="A339" s="1530" t="s">
        <v>1010</v>
      </c>
      <c r="B339" s="1556" t="s">
        <v>1011</v>
      </c>
      <c r="C339" s="1556"/>
      <c r="D339" s="1556"/>
      <c r="E339" s="1556"/>
      <c r="F339" s="1551">
        <f>SUM(F342:F346)</f>
        <v>48000</v>
      </c>
    </row>
    <row r="340" spans="1:6" ht="12.75">
      <c r="A340" s="1530"/>
      <c r="B340" s="1556"/>
      <c r="C340" s="1556"/>
      <c r="D340" s="1556"/>
      <c r="E340" s="1556"/>
      <c r="F340" s="1552"/>
    </row>
    <row r="341" spans="1:6" ht="12.75">
      <c r="A341" s="1530"/>
      <c r="B341" s="1556"/>
      <c r="C341" s="1556"/>
      <c r="D341" s="1556"/>
      <c r="E341" s="1556"/>
      <c r="F341" s="1553"/>
    </row>
    <row r="342" spans="1:6" ht="15">
      <c r="A342" s="1525">
        <v>3305</v>
      </c>
      <c r="B342" s="1525"/>
      <c r="C342" s="1522" t="s">
        <v>211</v>
      </c>
      <c r="D342" s="1523"/>
      <c r="E342" s="1524"/>
      <c r="F342" s="1109">
        <f>SUM('3c.m.'!G355)</f>
        <v>11000</v>
      </c>
    </row>
    <row r="343" spans="1:6" ht="15">
      <c r="A343" s="1525">
        <v>3310</v>
      </c>
      <c r="B343" s="1525"/>
      <c r="C343" s="1522" t="s">
        <v>423</v>
      </c>
      <c r="D343" s="1523"/>
      <c r="E343" s="1524"/>
      <c r="F343" s="1109">
        <f>SUM('3c.m.'!G381)</f>
        <v>7000</v>
      </c>
    </row>
    <row r="344" spans="1:6" ht="15">
      <c r="A344" s="1525">
        <v>3311</v>
      </c>
      <c r="B344" s="1525"/>
      <c r="C344" s="1522" t="s">
        <v>143</v>
      </c>
      <c r="D344" s="1523"/>
      <c r="E344" s="1524"/>
      <c r="F344" s="1109">
        <f>SUM('3c.m.'!G389)</f>
        <v>12000</v>
      </c>
    </row>
    <row r="345" spans="1:6" ht="15">
      <c r="A345" s="1525">
        <v>3315</v>
      </c>
      <c r="B345" s="1525"/>
      <c r="C345" s="1522" t="s">
        <v>11</v>
      </c>
      <c r="D345" s="1523"/>
      <c r="E345" s="1524"/>
      <c r="F345" s="1109">
        <f>SUM('3c.m.'!G413)</f>
        <v>12000</v>
      </c>
    </row>
    <row r="346" spans="1:6" ht="15">
      <c r="A346" s="1525">
        <v>3316</v>
      </c>
      <c r="B346" s="1525"/>
      <c r="C346" s="1522" t="s">
        <v>144</v>
      </c>
      <c r="D346" s="1523"/>
      <c r="E346" s="1524"/>
      <c r="F346" s="1109">
        <f>SUM('3c.m.'!G421)</f>
        <v>6000</v>
      </c>
    </row>
    <row r="347" spans="1:6" ht="12.75">
      <c r="A347" s="1530" t="s">
        <v>1012</v>
      </c>
      <c r="B347" s="1556" t="s">
        <v>1013</v>
      </c>
      <c r="C347" s="1556"/>
      <c r="D347" s="1556"/>
      <c r="E347" s="1556"/>
      <c r="F347" s="1551">
        <f>SUM(F350)</f>
        <v>1000</v>
      </c>
    </row>
    <row r="348" spans="1:6" ht="12.75">
      <c r="A348" s="1530"/>
      <c r="B348" s="1556"/>
      <c r="C348" s="1556"/>
      <c r="D348" s="1556"/>
      <c r="E348" s="1556"/>
      <c r="F348" s="1552"/>
    </row>
    <row r="349" spans="1:6" ht="12.75">
      <c r="A349" s="1530"/>
      <c r="B349" s="1556"/>
      <c r="C349" s="1556"/>
      <c r="D349" s="1556"/>
      <c r="E349" s="1556"/>
      <c r="F349" s="1553"/>
    </row>
    <row r="350" spans="1:6" ht="15">
      <c r="A350" s="1525">
        <v>3343</v>
      </c>
      <c r="B350" s="1525"/>
      <c r="C350" s="1522" t="s">
        <v>1014</v>
      </c>
      <c r="D350" s="1523"/>
      <c r="E350" s="1524"/>
      <c r="F350" s="1109">
        <f>SUM('3c.m.'!G504)</f>
        <v>1000</v>
      </c>
    </row>
    <row r="351" spans="1:6" ht="12" customHeight="1">
      <c r="A351" s="1530" t="s">
        <v>1015</v>
      </c>
      <c r="B351" s="1556" t="s">
        <v>1016</v>
      </c>
      <c r="C351" s="1556"/>
      <c r="D351" s="1556"/>
      <c r="E351" s="1556"/>
      <c r="F351" s="1551">
        <f>SUM(F354:F354)</f>
        <v>1027</v>
      </c>
    </row>
    <row r="352" spans="1:6" ht="12" customHeight="1">
      <c r="A352" s="1530"/>
      <c r="B352" s="1556"/>
      <c r="C352" s="1556"/>
      <c r="D352" s="1556"/>
      <c r="E352" s="1556"/>
      <c r="F352" s="1552"/>
    </row>
    <row r="353" spans="1:6" ht="12" customHeight="1">
      <c r="A353" s="1530"/>
      <c r="B353" s="1556"/>
      <c r="C353" s="1556"/>
      <c r="D353" s="1556"/>
      <c r="E353" s="1556"/>
      <c r="F353" s="1553"/>
    </row>
    <row r="354" spans="1:6" ht="15">
      <c r="A354" s="1525">
        <v>3344</v>
      </c>
      <c r="B354" s="1525"/>
      <c r="C354" s="1522" t="s">
        <v>287</v>
      </c>
      <c r="D354" s="1523"/>
      <c r="E354" s="1524"/>
      <c r="F354" s="1109">
        <f>SUM('3c.m.'!G512)</f>
        <v>1027</v>
      </c>
    </row>
    <row r="355" spans="1:6" ht="12.75">
      <c r="A355" s="1530" t="s">
        <v>1017</v>
      </c>
      <c r="B355" s="1556" t="s">
        <v>1018</v>
      </c>
      <c r="C355" s="1556"/>
      <c r="D355" s="1556"/>
      <c r="E355" s="1556"/>
      <c r="F355" s="1551">
        <f>SUM(F358:F358)</f>
        <v>3933</v>
      </c>
    </row>
    <row r="356" spans="1:6" ht="12.75">
      <c r="A356" s="1530"/>
      <c r="B356" s="1556"/>
      <c r="C356" s="1556"/>
      <c r="D356" s="1556"/>
      <c r="E356" s="1556"/>
      <c r="F356" s="1552"/>
    </row>
    <row r="357" spans="1:6" ht="12.75">
      <c r="A357" s="1530"/>
      <c r="B357" s="1556"/>
      <c r="C357" s="1556"/>
      <c r="D357" s="1556"/>
      <c r="E357" s="1556"/>
      <c r="F357" s="1553"/>
    </row>
    <row r="358" spans="1:6" ht="15">
      <c r="A358" s="1525">
        <v>3346</v>
      </c>
      <c r="B358" s="1525"/>
      <c r="C358" s="1522" t="s">
        <v>122</v>
      </c>
      <c r="D358" s="1523"/>
      <c r="E358" s="1524"/>
      <c r="F358" s="1109">
        <f>SUM('3c.m.'!G528)</f>
        <v>3933</v>
      </c>
    </row>
    <row r="359" spans="1:6" ht="12.75">
      <c r="A359" s="1530" t="s">
        <v>1019</v>
      </c>
      <c r="B359" s="1556" t="s">
        <v>518</v>
      </c>
      <c r="C359" s="1556"/>
      <c r="D359" s="1556"/>
      <c r="E359" s="1556"/>
      <c r="F359" s="1551">
        <f>SUM(F362)</f>
        <v>9859</v>
      </c>
    </row>
    <row r="360" spans="1:6" ht="12.75">
      <c r="A360" s="1530"/>
      <c r="B360" s="1556"/>
      <c r="C360" s="1556"/>
      <c r="D360" s="1556"/>
      <c r="E360" s="1556"/>
      <c r="F360" s="1552"/>
    </row>
    <row r="361" spans="1:6" ht="12.75">
      <c r="A361" s="1530"/>
      <c r="B361" s="1556"/>
      <c r="C361" s="1556"/>
      <c r="D361" s="1556"/>
      <c r="E361" s="1556"/>
      <c r="F361" s="1553"/>
    </row>
    <row r="362" spans="1:6" ht="15">
      <c r="A362" s="1525">
        <v>3340</v>
      </c>
      <c r="B362" s="1525"/>
      <c r="C362" s="1522" t="s">
        <v>518</v>
      </c>
      <c r="D362" s="1523"/>
      <c r="E362" s="1524"/>
      <c r="F362" s="1109">
        <f>SUM('3c.m.'!G479)</f>
        <v>9859</v>
      </c>
    </row>
    <row r="363" spans="1:6" ht="12.75">
      <c r="A363" s="1530" t="s">
        <v>1020</v>
      </c>
      <c r="B363" s="1556" t="s">
        <v>1021</v>
      </c>
      <c r="C363" s="1556"/>
      <c r="D363" s="1556"/>
      <c r="E363" s="1556"/>
      <c r="F363" s="1551">
        <f>SUM(F366:F379)</f>
        <v>212226</v>
      </c>
    </row>
    <row r="364" spans="1:6" ht="12.75">
      <c r="A364" s="1530"/>
      <c r="B364" s="1556"/>
      <c r="C364" s="1556"/>
      <c r="D364" s="1556"/>
      <c r="E364" s="1556"/>
      <c r="F364" s="1552"/>
    </row>
    <row r="365" spans="1:6" ht="12.75">
      <c r="A365" s="1530"/>
      <c r="B365" s="1556"/>
      <c r="C365" s="1556"/>
      <c r="D365" s="1556"/>
      <c r="E365" s="1556"/>
      <c r="F365" s="1553"/>
    </row>
    <row r="366" spans="1:6" ht="15">
      <c r="A366" s="1525">
        <v>3081</v>
      </c>
      <c r="B366" s="1525"/>
      <c r="C366" s="1522" t="s">
        <v>149</v>
      </c>
      <c r="D366" s="1523"/>
      <c r="E366" s="1524"/>
      <c r="F366" s="1109">
        <f>SUM('3c.m.'!G59)</f>
        <v>21311</v>
      </c>
    </row>
    <row r="367" spans="1:6" ht="15">
      <c r="A367" s="1525">
        <v>3144</v>
      </c>
      <c r="B367" s="1525"/>
      <c r="C367" s="1522" t="s">
        <v>407</v>
      </c>
      <c r="D367" s="1523"/>
      <c r="E367" s="1524"/>
      <c r="F367" s="1109">
        <f>SUM('3c.m.'!G169)</f>
        <v>1500</v>
      </c>
    </row>
    <row r="368" spans="1:6" ht="15">
      <c r="A368" s="1525">
        <v>3306</v>
      </c>
      <c r="B368" s="1525"/>
      <c r="C368" s="1522" t="s">
        <v>212</v>
      </c>
      <c r="D368" s="1523"/>
      <c r="E368" s="1524"/>
      <c r="F368" s="1109">
        <f>SUM('3c.m.'!G364)</f>
        <v>5030</v>
      </c>
    </row>
    <row r="369" spans="1:6" ht="15">
      <c r="A369" s="1525">
        <v>3312</v>
      </c>
      <c r="B369" s="1525"/>
      <c r="C369" s="1522" t="s">
        <v>405</v>
      </c>
      <c r="D369" s="1523"/>
      <c r="E369" s="1524"/>
      <c r="F369" s="1109">
        <f>SUM('3c.m.'!G397)</f>
        <v>20074</v>
      </c>
    </row>
    <row r="370" spans="1:6" ht="15">
      <c r="A370" s="1525">
        <v>3313</v>
      </c>
      <c r="B370" s="1525"/>
      <c r="C370" s="1522" t="s">
        <v>10</v>
      </c>
      <c r="D370" s="1523"/>
      <c r="E370" s="1524"/>
      <c r="F370" s="1109">
        <f>SUM('3c.m.'!G405)</f>
        <v>9500</v>
      </c>
    </row>
    <row r="371" spans="1:6" ht="15">
      <c r="A371" s="1525">
        <v>3317</v>
      </c>
      <c r="B371" s="1525"/>
      <c r="C371" s="1522" t="s">
        <v>406</v>
      </c>
      <c r="D371" s="1523"/>
      <c r="E371" s="1524"/>
      <c r="F371" s="1109">
        <f>SUM('3c.m.'!G429)</f>
        <v>90159</v>
      </c>
    </row>
    <row r="372" spans="1:6" ht="15">
      <c r="A372" s="1525">
        <v>3322</v>
      </c>
      <c r="B372" s="1525"/>
      <c r="C372" s="1522" t="s">
        <v>421</v>
      </c>
      <c r="D372" s="1523"/>
      <c r="E372" s="1524"/>
      <c r="F372" s="1109">
        <f>SUM('3c.m.'!G455)</f>
        <v>9542</v>
      </c>
    </row>
    <row r="373" spans="1:6" ht="15">
      <c r="A373" s="1525">
        <v>3324</v>
      </c>
      <c r="B373" s="1525"/>
      <c r="C373" s="1522" t="s">
        <v>482</v>
      </c>
      <c r="D373" s="1523"/>
      <c r="E373" s="1524"/>
      <c r="F373" s="1109">
        <f>SUM('3c.m.'!G471)</f>
        <v>2000</v>
      </c>
    </row>
    <row r="374" spans="1:6" ht="15">
      <c r="A374" s="1525">
        <v>3350</v>
      </c>
      <c r="B374" s="1525"/>
      <c r="C374" s="1522" t="s">
        <v>309</v>
      </c>
      <c r="D374" s="1523"/>
      <c r="E374" s="1524"/>
      <c r="F374" s="1109">
        <f>SUM('3c.m.'!G560)</f>
        <v>100</v>
      </c>
    </row>
    <row r="375" spans="1:6" ht="15">
      <c r="A375" s="1525">
        <v>3351</v>
      </c>
      <c r="B375" s="1525"/>
      <c r="C375" s="1522" t="s">
        <v>422</v>
      </c>
      <c r="D375" s="1523"/>
      <c r="E375" s="1524"/>
      <c r="F375" s="1109">
        <f>SUM('3c.m.'!G568)</f>
        <v>20000</v>
      </c>
    </row>
    <row r="376" spans="1:6" ht="15">
      <c r="A376" s="1525">
        <v>3352</v>
      </c>
      <c r="B376" s="1525"/>
      <c r="C376" s="1522" t="s">
        <v>504</v>
      </c>
      <c r="D376" s="1523"/>
      <c r="E376" s="1524"/>
      <c r="F376" s="1109">
        <f>SUM('3c.m.'!G577)</f>
        <v>21010</v>
      </c>
    </row>
    <row r="377" spans="1:6" ht="15">
      <c r="A377" s="1525">
        <v>3358</v>
      </c>
      <c r="B377" s="1525"/>
      <c r="C377" s="1522" t="s">
        <v>821</v>
      </c>
      <c r="D377" s="1523"/>
      <c r="E377" s="1524"/>
      <c r="F377" s="1109">
        <f>SUM('3c.m.'!G609)</f>
        <v>1000</v>
      </c>
    </row>
    <row r="378" spans="1:6" ht="15">
      <c r="A378" s="1525">
        <v>3942</v>
      </c>
      <c r="B378" s="1525"/>
      <c r="C378" s="1522" t="s">
        <v>1022</v>
      </c>
      <c r="D378" s="1523"/>
      <c r="E378" s="1524"/>
      <c r="F378" s="1109">
        <f>SUM('3d.m.'!G32)</f>
        <v>9000</v>
      </c>
    </row>
    <row r="379" spans="1:6" ht="15">
      <c r="A379" s="1525">
        <v>3943</v>
      </c>
      <c r="B379" s="1525"/>
      <c r="C379" s="1522" t="s">
        <v>6</v>
      </c>
      <c r="D379" s="1523"/>
      <c r="E379" s="1524"/>
      <c r="F379" s="1109">
        <f>SUM('3d.m.'!G33)</f>
        <v>2000</v>
      </c>
    </row>
    <row r="380" spans="1:6" ht="12" customHeight="1">
      <c r="A380" s="1539" t="s">
        <v>1023</v>
      </c>
      <c r="B380" s="1542" t="s">
        <v>1093</v>
      </c>
      <c r="C380" s="1543"/>
      <c r="D380" s="1543"/>
      <c r="E380" s="1544"/>
      <c r="F380" s="1551">
        <f>SUM(F383)</f>
        <v>13502</v>
      </c>
    </row>
    <row r="381" spans="1:6" ht="12" customHeight="1">
      <c r="A381" s="1540"/>
      <c r="B381" s="1545"/>
      <c r="C381" s="1546"/>
      <c r="D381" s="1546"/>
      <c r="E381" s="1547"/>
      <c r="F381" s="1552"/>
    </row>
    <row r="382" spans="1:6" ht="12" customHeight="1">
      <c r="A382" s="1541"/>
      <c r="B382" s="1548"/>
      <c r="C382" s="1549"/>
      <c r="D382" s="1549"/>
      <c r="E382" s="1550"/>
      <c r="F382" s="1553"/>
    </row>
    <row r="383" spans="1:6" ht="15">
      <c r="A383" s="1525">
        <v>3202</v>
      </c>
      <c r="B383" s="1525"/>
      <c r="C383" s="1522" t="s">
        <v>300</v>
      </c>
      <c r="D383" s="1523"/>
      <c r="E383" s="1524"/>
      <c r="F383" s="1109">
        <f>SUM('3c.m.'!G211)</f>
        <v>13502</v>
      </c>
    </row>
    <row r="384" spans="1:6" ht="13.5" customHeight="1">
      <c r="A384" s="1539" t="s">
        <v>1024</v>
      </c>
      <c r="B384" s="1542" t="s">
        <v>1025</v>
      </c>
      <c r="C384" s="1543"/>
      <c r="D384" s="1543"/>
      <c r="E384" s="1544"/>
      <c r="F384" s="1551">
        <f>SUM(F387)</f>
        <v>2000000</v>
      </c>
    </row>
    <row r="385" spans="1:6" ht="13.5" customHeight="1">
      <c r="A385" s="1540"/>
      <c r="B385" s="1545"/>
      <c r="C385" s="1546"/>
      <c r="D385" s="1546"/>
      <c r="E385" s="1547"/>
      <c r="F385" s="1554"/>
    </row>
    <row r="386" spans="1:6" ht="13.5" customHeight="1">
      <c r="A386" s="1541"/>
      <c r="B386" s="1548"/>
      <c r="C386" s="1549"/>
      <c r="D386" s="1549"/>
      <c r="E386" s="1550"/>
      <c r="F386" s="1555"/>
    </row>
    <row r="387" spans="1:6" ht="15">
      <c r="A387" s="1525">
        <v>1976</v>
      </c>
      <c r="B387" s="1525"/>
      <c r="C387" s="1522" t="s">
        <v>506</v>
      </c>
      <c r="D387" s="1523"/>
      <c r="E387" s="1524"/>
      <c r="F387" s="1113">
        <f>SUM('1c.mell '!G150)</f>
        <v>2000000</v>
      </c>
    </row>
    <row r="388" spans="1:6" ht="12.75">
      <c r="A388" s="1539" t="s">
        <v>878</v>
      </c>
      <c r="B388" s="1542" t="s">
        <v>879</v>
      </c>
      <c r="C388" s="1543"/>
      <c r="D388" s="1543"/>
      <c r="E388" s="1544"/>
      <c r="F388" s="1551">
        <f>SUM(F391:F392)</f>
        <v>537004</v>
      </c>
    </row>
    <row r="389" spans="1:6" ht="12.75">
      <c r="A389" s="1540"/>
      <c r="B389" s="1545"/>
      <c r="C389" s="1546"/>
      <c r="D389" s="1546"/>
      <c r="E389" s="1547"/>
      <c r="F389" s="1552"/>
    </row>
    <row r="390" spans="1:6" ht="12.75">
      <c r="A390" s="1541"/>
      <c r="B390" s="1548"/>
      <c r="C390" s="1549"/>
      <c r="D390" s="1549"/>
      <c r="E390" s="1550"/>
      <c r="F390" s="1553"/>
    </row>
    <row r="391" spans="1:6" ht="15">
      <c r="A391" s="1525">
        <v>6110</v>
      </c>
      <c r="B391" s="1525"/>
      <c r="C391" s="1522" t="s">
        <v>1026</v>
      </c>
      <c r="D391" s="1523"/>
      <c r="E391" s="1524"/>
      <c r="F391" s="1109">
        <f>SUM('6.mell. '!G12)</f>
        <v>83242</v>
      </c>
    </row>
    <row r="392" spans="1:6" ht="15">
      <c r="A392" s="1525">
        <v>6127</v>
      </c>
      <c r="B392" s="1525"/>
      <c r="C392" s="1522" t="s">
        <v>1155</v>
      </c>
      <c r="D392" s="1523"/>
      <c r="E392" s="1524"/>
      <c r="F392" s="1146">
        <f>SUM('6.mell. '!G16)</f>
        <v>453762</v>
      </c>
    </row>
    <row r="393" spans="1:6" ht="12.75" customHeight="1">
      <c r="A393" s="1531" t="s">
        <v>158</v>
      </c>
      <c r="B393" s="1532"/>
      <c r="C393" s="1532"/>
      <c r="D393" s="1532"/>
      <c r="E393" s="1533"/>
      <c r="F393" s="1537">
        <f>SUM(F388+F380+F363+F359+F355+F351+F347+F339+F332+F320+F316+F312+F308+F302+F298+F294+F288+F280+F276+F271+F267+F263+F257+F250+F244+F229+F225+F216+F211+F183+F173+F169+F165+F161+F157+F152+F127+F123+F114+F109+F105+F101+F97+F93+F89+F83+F23+F5++F284+F179+F206+F202+F198+F194+F71+F79+F221+F324+F328+F384+F118+F75)</f>
        <v>23575289</v>
      </c>
    </row>
    <row r="394" spans="1:6" ht="12.75" customHeight="1">
      <c r="A394" s="1534"/>
      <c r="B394" s="1535"/>
      <c r="C394" s="1535"/>
      <c r="D394" s="1535"/>
      <c r="E394" s="1536"/>
      <c r="F394" s="1538"/>
    </row>
  </sheetData>
  <sheetProtection/>
  <mergeCells count="577">
    <mergeCell ref="C150:E150"/>
    <mergeCell ref="A142:B142"/>
    <mergeCell ref="C148:E148"/>
    <mergeCell ref="A149:B149"/>
    <mergeCell ref="A26:B26"/>
    <mergeCell ref="C26:E26"/>
    <mergeCell ref="A28:B28"/>
    <mergeCell ref="C142:E142"/>
    <mergeCell ref="A146:B146"/>
    <mergeCell ref="C146:E146"/>
    <mergeCell ref="A143:B143"/>
    <mergeCell ref="C143:E143"/>
    <mergeCell ref="A1:F1"/>
    <mergeCell ref="A2:F2"/>
    <mergeCell ref="A3:F3"/>
    <mergeCell ref="A5:A7"/>
    <mergeCell ref="B5:E7"/>
    <mergeCell ref="F5:F7"/>
    <mergeCell ref="C8:E8"/>
    <mergeCell ref="A9:B9"/>
    <mergeCell ref="C9:E9"/>
    <mergeCell ref="A10:B10"/>
    <mergeCell ref="C10:E10"/>
    <mergeCell ref="A11:B11"/>
    <mergeCell ref="C11:E11"/>
    <mergeCell ref="A8:B8"/>
    <mergeCell ref="A12:B12"/>
    <mergeCell ref="C12:E12"/>
    <mergeCell ref="A13:B13"/>
    <mergeCell ref="C13:E13"/>
    <mergeCell ref="A23:A25"/>
    <mergeCell ref="B23:E25"/>
    <mergeCell ref="A19:B19"/>
    <mergeCell ref="C19:E19"/>
    <mergeCell ref="C21:E21"/>
    <mergeCell ref="F23:F25"/>
    <mergeCell ref="A14:B14"/>
    <mergeCell ref="C14:E14"/>
    <mergeCell ref="A18:B18"/>
    <mergeCell ref="C18:E18"/>
    <mergeCell ref="A22:B22"/>
    <mergeCell ref="C22:E22"/>
    <mergeCell ref="A21:B21"/>
    <mergeCell ref="A15:B15"/>
    <mergeCell ref="A16:B16"/>
    <mergeCell ref="C28:E28"/>
    <mergeCell ref="A29:B29"/>
    <mergeCell ref="C29:E29"/>
    <mergeCell ref="A27:B27"/>
    <mergeCell ref="A30:B30"/>
    <mergeCell ref="C30:E30"/>
    <mergeCell ref="A31:B31"/>
    <mergeCell ref="C31:E31"/>
    <mergeCell ref="A32:B32"/>
    <mergeCell ref="C32:E32"/>
    <mergeCell ref="C36:E36"/>
    <mergeCell ref="A33:B33"/>
    <mergeCell ref="C33:E33"/>
    <mergeCell ref="A34:B34"/>
    <mergeCell ref="C34:E34"/>
    <mergeCell ref="A35:B35"/>
    <mergeCell ref="C35:E35"/>
    <mergeCell ref="A36:B36"/>
    <mergeCell ref="C44:E44"/>
    <mergeCell ref="A41:B41"/>
    <mergeCell ref="C41:E41"/>
    <mergeCell ref="A39:B39"/>
    <mergeCell ref="C39:E39"/>
    <mergeCell ref="A40:B40"/>
    <mergeCell ref="C40:E40"/>
    <mergeCell ref="A44:B44"/>
    <mergeCell ref="C48:E48"/>
    <mergeCell ref="A49:B49"/>
    <mergeCell ref="C49:E49"/>
    <mergeCell ref="A45:B45"/>
    <mergeCell ref="C45:E45"/>
    <mergeCell ref="A46:B46"/>
    <mergeCell ref="C46:E46"/>
    <mergeCell ref="A47:B47"/>
    <mergeCell ref="C47:E47"/>
    <mergeCell ref="A59:B59"/>
    <mergeCell ref="C59:E59"/>
    <mergeCell ref="A60:B60"/>
    <mergeCell ref="C60:E60"/>
    <mergeCell ref="A61:B61"/>
    <mergeCell ref="C61:E61"/>
    <mergeCell ref="A68:B68"/>
    <mergeCell ref="A66:B66"/>
    <mergeCell ref="A67:B67"/>
    <mergeCell ref="A71:A73"/>
    <mergeCell ref="B71:E73"/>
    <mergeCell ref="F71:F73"/>
    <mergeCell ref="A69:B69"/>
    <mergeCell ref="C69:E69"/>
    <mergeCell ref="A70:B70"/>
    <mergeCell ref="C70:E70"/>
    <mergeCell ref="A74:B74"/>
    <mergeCell ref="C74:E74"/>
    <mergeCell ref="A75:A77"/>
    <mergeCell ref="B75:E77"/>
    <mergeCell ref="F75:F77"/>
    <mergeCell ref="A79:A81"/>
    <mergeCell ref="B79:E81"/>
    <mergeCell ref="F79:F81"/>
    <mergeCell ref="A82:B82"/>
    <mergeCell ref="C82:E82"/>
    <mergeCell ref="A78:B78"/>
    <mergeCell ref="C78:E78"/>
    <mergeCell ref="A83:A85"/>
    <mergeCell ref="B83:E85"/>
    <mergeCell ref="F83:F85"/>
    <mergeCell ref="A86:B86"/>
    <mergeCell ref="C86:E86"/>
    <mergeCell ref="A87:B87"/>
    <mergeCell ref="C87:E87"/>
    <mergeCell ref="F89:F91"/>
    <mergeCell ref="A88:B88"/>
    <mergeCell ref="C88:E88"/>
    <mergeCell ref="A92:B92"/>
    <mergeCell ref="C92:E92"/>
    <mergeCell ref="A93:A95"/>
    <mergeCell ref="B93:E95"/>
    <mergeCell ref="F93:F95"/>
    <mergeCell ref="A89:A91"/>
    <mergeCell ref="B89:E91"/>
    <mergeCell ref="A96:B96"/>
    <mergeCell ref="C96:E96"/>
    <mergeCell ref="A97:A99"/>
    <mergeCell ref="B97:E99"/>
    <mergeCell ref="F97:F99"/>
    <mergeCell ref="A100:B100"/>
    <mergeCell ref="C100:E100"/>
    <mergeCell ref="A108:B108"/>
    <mergeCell ref="C108:E108"/>
    <mergeCell ref="A101:A103"/>
    <mergeCell ref="B101:E103"/>
    <mergeCell ref="F101:F103"/>
    <mergeCell ref="A104:B104"/>
    <mergeCell ref="C104:E104"/>
    <mergeCell ref="A105:A107"/>
    <mergeCell ref="B105:E107"/>
    <mergeCell ref="F105:F107"/>
    <mergeCell ref="A109:A111"/>
    <mergeCell ref="B109:E111"/>
    <mergeCell ref="F109:F111"/>
    <mergeCell ref="A112:B112"/>
    <mergeCell ref="C112:E112"/>
    <mergeCell ref="A114:A116"/>
    <mergeCell ref="B114:E116"/>
    <mergeCell ref="F114:F116"/>
    <mergeCell ref="A113:B113"/>
    <mergeCell ref="C113:E113"/>
    <mergeCell ref="A117:B117"/>
    <mergeCell ref="C117:E117"/>
    <mergeCell ref="A118:A120"/>
    <mergeCell ref="B118:E120"/>
    <mergeCell ref="F118:F120"/>
    <mergeCell ref="A121:B121"/>
    <mergeCell ref="A123:A125"/>
    <mergeCell ref="B123:E125"/>
    <mergeCell ref="F123:F125"/>
    <mergeCell ref="A126:B126"/>
    <mergeCell ref="C126:E126"/>
    <mergeCell ref="A127:A129"/>
    <mergeCell ref="B127:E129"/>
    <mergeCell ref="F127:F129"/>
    <mergeCell ref="A130:B130"/>
    <mergeCell ref="C130:E130"/>
    <mergeCell ref="A131:B131"/>
    <mergeCell ref="C131:E131"/>
    <mergeCell ref="A132:B132"/>
    <mergeCell ref="C132:E132"/>
    <mergeCell ref="A133:B133"/>
    <mergeCell ref="C133:E133"/>
    <mergeCell ref="A134:B134"/>
    <mergeCell ref="C134:E134"/>
    <mergeCell ref="A136:B136"/>
    <mergeCell ref="C136:E136"/>
    <mergeCell ref="A135:B135"/>
    <mergeCell ref="C135:E135"/>
    <mergeCell ref="A140:B140"/>
    <mergeCell ref="C140:E140"/>
    <mergeCell ref="A141:B141"/>
    <mergeCell ref="C141:E141"/>
    <mergeCell ref="A137:B137"/>
    <mergeCell ref="C137:E137"/>
    <mergeCell ref="A138:B138"/>
    <mergeCell ref="C138:E138"/>
    <mergeCell ref="A139:B139"/>
    <mergeCell ref="C139:E139"/>
    <mergeCell ref="C149:E149"/>
    <mergeCell ref="A151:B151"/>
    <mergeCell ref="C151:E151"/>
    <mergeCell ref="A144:B144"/>
    <mergeCell ref="C144:E144"/>
    <mergeCell ref="A145:B145"/>
    <mergeCell ref="C145:E145"/>
    <mergeCell ref="A147:B147"/>
    <mergeCell ref="A148:B148"/>
    <mergeCell ref="A150:B150"/>
    <mergeCell ref="A152:A154"/>
    <mergeCell ref="B152:E154"/>
    <mergeCell ref="F152:F154"/>
    <mergeCell ref="A155:B155"/>
    <mergeCell ref="C155:E155"/>
    <mergeCell ref="A156:B156"/>
    <mergeCell ref="C156:E156"/>
    <mergeCell ref="A157:A159"/>
    <mergeCell ref="B157:E159"/>
    <mergeCell ref="F157:F159"/>
    <mergeCell ref="A160:B160"/>
    <mergeCell ref="C160:E160"/>
    <mergeCell ref="A165:A167"/>
    <mergeCell ref="B165:E167"/>
    <mergeCell ref="F165:F167"/>
    <mergeCell ref="A168:B168"/>
    <mergeCell ref="C168:E168"/>
    <mergeCell ref="A161:A163"/>
    <mergeCell ref="B161:E163"/>
    <mergeCell ref="F161:F163"/>
    <mergeCell ref="A164:B164"/>
    <mergeCell ref="C164:E164"/>
    <mergeCell ref="A169:A171"/>
    <mergeCell ref="B169:E171"/>
    <mergeCell ref="F169:F171"/>
    <mergeCell ref="A172:B172"/>
    <mergeCell ref="C172:E172"/>
    <mergeCell ref="A173:A175"/>
    <mergeCell ref="B173:E175"/>
    <mergeCell ref="F173:F175"/>
    <mergeCell ref="A176:B176"/>
    <mergeCell ref="C176:E176"/>
    <mergeCell ref="A177:B177"/>
    <mergeCell ref="C177:E177"/>
    <mergeCell ref="A178:B178"/>
    <mergeCell ref="C178:E178"/>
    <mergeCell ref="A179:A181"/>
    <mergeCell ref="B179:E181"/>
    <mergeCell ref="F179:F181"/>
    <mergeCell ref="A182:B182"/>
    <mergeCell ref="C182:E182"/>
    <mergeCell ref="A183:A185"/>
    <mergeCell ref="B183:E185"/>
    <mergeCell ref="F183:F18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4:A196"/>
    <mergeCell ref="B194:E196"/>
    <mergeCell ref="F194:F196"/>
    <mergeCell ref="A192:B192"/>
    <mergeCell ref="C192:E192"/>
    <mergeCell ref="A193:B193"/>
    <mergeCell ref="C193:E193"/>
    <mergeCell ref="A197:B197"/>
    <mergeCell ref="C197:E197"/>
    <mergeCell ref="A198:A200"/>
    <mergeCell ref="B198:E200"/>
    <mergeCell ref="F198:F200"/>
    <mergeCell ref="A201:B201"/>
    <mergeCell ref="C201:E201"/>
    <mergeCell ref="B202:E204"/>
    <mergeCell ref="F202:F204"/>
    <mergeCell ref="A205:B205"/>
    <mergeCell ref="C205:E205"/>
    <mergeCell ref="A206:A208"/>
    <mergeCell ref="B206:E208"/>
    <mergeCell ref="F206:F208"/>
    <mergeCell ref="A211:A213"/>
    <mergeCell ref="B211:E213"/>
    <mergeCell ref="F211:F213"/>
    <mergeCell ref="A214:B214"/>
    <mergeCell ref="C214:E214"/>
    <mergeCell ref="A215:B215"/>
    <mergeCell ref="C215:E215"/>
    <mergeCell ref="A216:A218"/>
    <mergeCell ref="B216:E218"/>
    <mergeCell ref="F216:F218"/>
    <mergeCell ref="A219:B219"/>
    <mergeCell ref="C219:E219"/>
    <mergeCell ref="A220:B220"/>
    <mergeCell ref="C220:E220"/>
    <mergeCell ref="A221:A223"/>
    <mergeCell ref="B221:E223"/>
    <mergeCell ref="F221:F223"/>
    <mergeCell ref="A224:B224"/>
    <mergeCell ref="C224:E224"/>
    <mergeCell ref="A225:A227"/>
    <mergeCell ref="B225:E227"/>
    <mergeCell ref="F225:F227"/>
    <mergeCell ref="A228:B228"/>
    <mergeCell ref="C228:E228"/>
    <mergeCell ref="A229:A231"/>
    <mergeCell ref="B229:E231"/>
    <mergeCell ref="F229:F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44:A246"/>
    <mergeCell ref="B244:E246"/>
    <mergeCell ref="F244:F246"/>
    <mergeCell ref="A247:B247"/>
    <mergeCell ref="C247:E247"/>
    <mergeCell ref="A249:B249"/>
    <mergeCell ref="C249:E249"/>
    <mergeCell ref="A250:A252"/>
    <mergeCell ref="B250:E252"/>
    <mergeCell ref="F250:F252"/>
    <mergeCell ref="A248:B248"/>
    <mergeCell ref="C248:E248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A259"/>
    <mergeCell ref="B257:E259"/>
    <mergeCell ref="F257:F259"/>
    <mergeCell ref="A260:B260"/>
    <mergeCell ref="C260:E260"/>
    <mergeCell ref="A261:B261"/>
    <mergeCell ref="C261:E261"/>
    <mergeCell ref="A262:B262"/>
    <mergeCell ref="C262:E262"/>
    <mergeCell ref="A263:A265"/>
    <mergeCell ref="B263:E265"/>
    <mergeCell ref="A274:B274"/>
    <mergeCell ref="C274:E274"/>
    <mergeCell ref="F263:F265"/>
    <mergeCell ref="A266:B266"/>
    <mergeCell ref="C266:E266"/>
    <mergeCell ref="A267:A269"/>
    <mergeCell ref="B267:E269"/>
    <mergeCell ref="F267:F269"/>
    <mergeCell ref="A276:A278"/>
    <mergeCell ref="B276:E278"/>
    <mergeCell ref="F276:F278"/>
    <mergeCell ref="A279:B279"/>
    <mergeCell ref="C279:E279"/>
    <mergeCell ref="A270:B270"/>
    <mergeCell ref="C270:E270"/>
    <mergeCell ref="A271:A273"/>
    <mergeCell ref="B271:E273"/>
    <mergeCell ref="F271:F273"/>
    <mergeCell ref="A280:A282"/>
    <mergeCell ref="B280:E282"/>
    <mergeCell ref="F280:F282"/>
    <mergeCell ref="A283:B283"/>
    <mergeCell ref="C283:E283"/>
    <mergeCell ref="A284:A286"/>
    <mergeCell ref="B284:E286"/>
    <mergeCell ref="F284:F286"/>
    <mergeCell ref="A287:B287"/>
    <mergeCell ref="C287:E287"/>
    <mergeCell ref="A288:A290"/>
    <mergeCell ref="B288:E290"/>
    <mergeCell ref="F288:F290"/>
    <mergeCell ref="A291:B291"/>
    <mergeCell ref="C291:E291"/>
    <mergeCell ref="A292:B292"/>
    <mergeCell ref="C292:E292"/>
    <mergeCell ref="A294:A296"/>
    <mergeCell ref="B294:E296"/>
    <mergeCell ref="F294:F296"/>
    <mergeCell ref="A297:B297"/>
    <mergeCell ref="C297:E297"/>
    <mergeCell ref="A293:B293"/>
    <mergeCell ref="C293:E293"/>
    <mergeCell ref="A298:A300"/>
    <mergeCell ref="B298:E300"/>
    <mergeCell ref="F298:F300"/>
    <mergeCell ref="A301:B301"/>
    <mergeCell ref="C301:E301"/>
    <mergeCell ref="A302:A304"/>
    <mergeCell ref="B302:E304"/>
    <mergeCell ref="F302:F304"/>
    <mergeCell ref="A305:B305"/>
    <mergeCell ref="C305:E305"/>
    <mergeCell ref="A306:B306"/>
    <mergeCell ref="C306:E306"/>
    <mergeCell ref="A307:B307"/>
    <mergeCell ref="C307:E307"/>
    <mergeCell ref="A308:A310"/>
    <mergeCell ref="B308:E310"/>
    <mergeCell ref="F308:F310"/>
    <mergeCell ref="A311:B311"/>
    <mergeCell ref="C311:E311"/>
    <mergeCell ref="A312:A314"/>
    <mergeCell ref="B312:E314"/>
    <mergeCell ref="F312:F314"/>
    <mergeCell ref="A315:B315"/>
    <mergeCell ref="C315:E315"/>
    <mergeCell ref="A316:A318"/>
    <mergeCell ref="B316:E318"/>
    <mergeCell ref="F316:F318"/>
    <mergeCell ref="A319:B319"/>
    <mergeCell ref="C319:E319"/>
    <mergeCell ref="A320:A322"/>
    <mergeCell ref="B320:E322"/>
    <mergeCell ref="F320:F322"/>
    <mergeCell ref="A323:B323"/>
    <mergeCell ref="C323:E323"/>
    <mergeCell ref="A324:A326"/>
    <mergeCell ref="B324:E326"/>
    <mergeCell ref="F324:F326"/>
    <mergeCell ref="A327:B327"/>
    <mergeCell ref="C327:E327"/>
    <mergeCell ref="A328:A330"/>
    <mergeCell ref="B328:E330"/>
    <mergeCell ref="F328:F330"/>
    <mergeCell ref="A331:B331"/>
    <mergeCell ref="C331:E331"/>
    <mergeCell ref="A332:A334"/>
    <mergeCell ref="B332:E334"/>
    <mergeCell ref="F332:F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39:A341"/>
    <mergeCell ref="B339:E341"/>
    <mergeCell ref="F339:F34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A349"/>
    <mergeCell ref="B347:E349"/>
    <mergeCell ref="F347:F349"/>
    <mergeCell ref="A350:B350"/>
    <mergeCell ref="C350:E350"/>
    <mergeCell ref="A351:A353"/>
    <mergeCell ref="B351:E353"/>
    <mergeCell ref="F351:F353"/>
    <mergeCell ref="A354:B354"/>
    <mergeCell ref="C354:E354"/>
    <mergeCell ref="A355:A357"/>
    <mergeCell ref="B355:E357"/>
    <mergeCell ref="F355:F357"/>
    <mergeCell ref="A358:B358"/>
    <mergeCell ref="C358:E358"/>
    <mergeCell ref="A359:A361"/>
    <mergeCell ref="B359:E361"/>
    <mergeCell ref="F359:F361"/>
    <mergeCell ref="A362:B362"/>
    <mergeCell ref="C362:E362"/>
    <mergeCell ref="A363:A365"/>
    <mergeCell ref="B363:E365"/>
    <mergeCell ref="F363:F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80:A382"/>
    <mergeCell ref="B380:E382"/>
    <mergeCell ref="F380:F382"/>
    <mergeCell ref="A383:B383"/>
    <mergeCell ref="C383:E383"/>
    <mergeCell ref="A384:A386"/>
    <mergeCell ref="B384:E386"/>
    <mergeCell ref="F384:F386"/>
    <mergeCell ref="A393:E394"/>
    <mergeCell ref="F393:F394"/>
    <mergeCell ref="A387:B387"/>
    <mergeCell ref="C387:E387"/>
    <mergeCell ref="A388:A390"/>
    <mergeCell ref="B388:E390"/>
    <mergeCell ref="F388:F390"/>
    <mergeCell ref="A391:B391"/>
    <mergeCell ref="C391:E391"/>
    <mergeCell ref="A392:B392"/>
    <mergeCell ref="C38:E38"/>
    <mergeCell ref="A43:B43"/>
    <mergeCell ref="C43:E43"/>
    <mergeCell ref="A63:B63"/>
    <mergeCell ref="C63:E63"/>
    <mergeCell ref="A57:B57"/>
    <mergeCell ref="C57:E57"/>
    <mergeCell ref="A56:B56"/>
    <mergeCell ref="C56:E56"/>
    <mergeCell ref="A48:B48"/>
    <mergeCell ref="A122:B122"/>
    <mergeCell ref="A210:B210"/>
    <mergeCell ref="C210:E210"/>
    <mergeCell ref="A64:B64"/>
    <mergeCell ref="C64:E64"/>
    <mergeCell ref="A65:B65"/>
    <mergeCell ref="C65:E65"/>
    <mergeCell ref="A209:B209"/>
    <mergeCell ref="C209:E209"/>
    <mergeCell ref="A202:A204"/>
    <mergeCell ref="C392:E392"/>
    <mergeCell ref="A37:B37"/>
    <mergeCell ref="A42:B42"/>
    <mergeCell ref="A58:B58"/>
    <mergeCell ref="A17:B17"/>
    <mergeCell ref="A20:B20"/>
    <mergeCell ref="A62:B62"/>
    <mergeCell ref="A50:B50"/>
    <mergeCell ref="A38:B38"/>
    <mergeCell ref="A54:B54"/>
    <mergeCell ref="C54:E54"/>
    <mergeCell ref="A55:B55"/>
    <mergeCell ref="C55:E55"/>
    <mergeCell ref="A51:B51"/>
    <mergeCell ref="C51:E51"/>
    <mergeCell ref="A52:B52"/>
    <mergeCell ref="C52:E52"/>
    <mergeCell ref="A53:B53"/>
    <mergeCell ref="C53:E53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86" r:id="rId1"/>
  <headerFooter>
    <oddFooter>&amp;C&amp;P.oldal</oddFooter>
  </headerFooter>
  <rowBreaks count="6" manualBreakCount="6">
    <brk id="58" max="255" man="1"/>
    <brk id="117" max="255" man="1"/>
    <brk id="178" max="255" man="1"/>
    <brk id="241" max="255" man="1"/>
    <brk id="301" max="255" man="1"/>
    <brk id="362" max="255" man="1"/>
  </rowBreaks>
  <ignoredErrors>
    <ignoredError sqref="A2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6">
      <selection activeCell="F77" sqref="F77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559" t="s">
        <v>1027</v>
      </c>
      <c r="B1" s="1559"/>
      <c r="C1" s="1559"/>
      <c r="D1" s="1559"/>
      <c r="E1" s="1559"/>
      <c r="F1" s="1559"/>
    </row>
    <row r="2" spans="1:6" ht="12.75">
      <c r="A2" s="1559" t="s">
        <v>1028</v>
      </c>
      <c r="B2" s="1559"/>
      <c r="C2" s="1559"/>
      <c r="D2" s="1559"/>
      <c r="E2" s="1559"/>
      <c r="F2" s="1559"/>
    </row>
    <row r="3" spans="1:6" ht="12.75">
      <c r="A3" s="1559" t="s">
        <v>1081</v>
      </c>
      <c r="B3" s="1559"/>
      <c r="C3" s="1559"/>
      <c r="D3" s="1559"/>
      <c r="E3" s="1559"/>
      <c r="F3" s="1559"/>
    </row>
    <row r="4" ht="12.75">
      <c r="F4" s="1066" t="s">
        <v>385</v>
      </c>
    </row>
    <row r="5" spans="1:6" ht="12.75">
      <c r="A5" s="1530" t="s">
        <v>878</v>
      </c>
      <c r="B5" s="1556" t="s">
        <v>879</v>
      </c>
      <c r="C5" s="1556"/>
      <c r="D5" s="1556"/>
      <c r="E5" s="1556"/>
      <c r="F5" s="1560">
        <f>SUM(F8:F40)</f>
        <v>3669237</v>
      </c>
    </row>
    <row r="6" spans="1:6" ht="12.75">
      <c r="A6" s="1530"/>
      <c r="B6" s="1556"/>
      <c r="C6" s="1556"/>
      <c r="D6" s="1556"/>
      <c r="E6" s="1556"/>
      <c r="F6" s="1561"/>
    </row>
    <row r="7" spans="1:6" ht="12.75">
      <c r="A7" s="1530"/>
      <c r="B7" s="1556"/>
      <c r="C7" s="1556"/>
      <c r="D7" s="1556"/>
      <c r="E7" s="1556"/>
      <c r="F7" s="1562"/>
    </row>
    <row r="8" spans="1:6" ht="15">
      <c r="A8" s="1526">
        <v>1071</v>
      </c>
      <c r="B8" s="1526"/>
      <c r="C8" s="1527" t="s">
        <v>1029</v>
      </c>
      <c r="D8" s="1528"/>
      <c r="E8" s="1529"/>
      <c r="F8" s="1109">
        <f>SUM('1b.mell '!G29)</f>
        <v>10000</v>
      </c>
    </row>
    <row r="9" spans="1:6" ht="15">
      <c r="A9" s="1526">
        <v>1074</v>
      </c>
      <c r="B9" s="1526"/>
      <c r="C9" s="1527" t="s">
        <v>1030</v>
      </c>
      <c r="D9" s="1528"/>
      <c r="E9" s="1529"/>
      <c r="F9" s="1109">
        <f>SUM('1b.mell '!G31)</f>
        <v>0</v>
      </c>
    </row>
    <row r="10" spans="1:6" ht="15">
      <c r="A10" s="1526">
        <v>1078</v>
      </c>
      <c r="B10" s="1526"/>
      <c r="C10" s="1527" t="s">
        <v>1031</v>
      </c>
      <c r="D10" s="1528"/>
      <c r="E10" s="1529"/>
      <c r="F10" s="1109">
        <f>SUM('1b.mell '!G35)</f>
        <v>5000</v>
      </c>
    </row>
    <row r="11" spans="1:6" ht="15">
      <c r="A11" s="1526">
        <v>1093</v>
      </c>
      <c r="B11" s="1526"/>
      <c r="C11" s="1527" t="s">
        <v>1032</v>
      </c>
      <c r="D11" s="1528"/>
      <c r="E11" s="1529"/>
      <c r="F11" s="1109">
        <f>SUM('1b.mell '!G43)</f>
        <v>10000</v>
      </c>
    </row>
    <row r="12" spans="1:6" ht="15">
      <c r="A12" s="1526">
        <v>1101</v>
      </c>
      <c r="B12" s="1526"/>
      <c r="C12" s="1527" t="s">
        <v>1033</v>
      </c>
      <c r="D12" s="1528"/>
      <c r="E12" s="1529"/>
      <c r="F12" s="1109">
        <f>SUM('1b.mell '!G50)</f>
        <v>20000</v>
      </c>
    </row>
    <row r="13" spans="1:6" ht="15">
      <c r="A13" s="1526">
        <v>1121</v>
      </c>
      <c r="B13" s="1526"/>
      <c r="C13" s="1527" t="s">
        <v>1034</v>
      </c>
      <c r="D13" s="1528"/>
      <c r="E13" s="1529"/>
      <c r="F13" s="1109">
        <f>SUM('1b.mell '!G56)</f>
        <v>65921</v>
      </c>
    </row>
    <row r="14" spans="1:6" ht="15">
      <c r="A14" s="1526">
        <v>1122</v>
      </c>
      <c r="B14" s="1526"/>
      <c r="C14" s="1527" t="s">
        <v>1035</v>
      </c>
      <c r="D14" s="1528"/>
      <c r="E14" s="1529"/>
      <c r="F14" s="1109">
        <f>SUM('1b.mell '!G57)</f>
        <v>183600</v>
      </c>
    </row>
    <row r="15" spans="1:6" ht="15">
      <c r="A15" s="1526">
        <v>1123</v>
      </c>
      <c r="B15" s="1526"/>
      <c r="C15" s="1527" t="s">
        <v>1036</v>
      </c>
      <c r="D15" s="1528"/>
      <c r="E15" s="1529"/>
      <c r="F15" s="1109">
        <f>SUM('1b.mell '!G58)</f>
        <v>219078</v>
      </c>
    </row>
    <row r="16" spans="1:6" ht="15">
      <c r="A16" s="1526">
        <v>1141</v>
      </c>
      <c r="B16" s="1526"/>
      <c r="C16" s="1527" t="s">
        <v>488</v>
      </c>
      <c r="D16" s="1528"/>
      <c r="E16" s="1529"/>
      <c r="F16" s="1109">
        <f>SUM('1b.mell '!G61)</f>
        <v>15000</v>
      </c>
    </row>
    <row r="17" spans="1:6" ht="15">
      <c r="A17" s="1526">
        <v>1150</v>
      </c>
      <c r="B17" s="1526"/>
      <c r="C17" s="1527" t="s">
        <v>239</v>
      </c>
      <c r="D17" s="1528"/>
      <c r="E17" s="1529"/>
      <c r="F17" s="1109">
        <f>SUM('1b.mell '!G62)</f>
        <v>34601</v>
      </c>
    </row>
    <row r="18" spans="1:6" ht="15">
      <c r="A18" s="1526">
        <v>1151</v>
      </c>
      <c r="B18" s="1526"/>
      <c r="C18" s="1527" t="s">
        <v>465</v>
      </c>
      <c r="D18" s="1528"/>
      <c r="E18" s="1529"/>
      <c r="F18" s="1109">
        <f>SUM('1b.mell '!G63)</f>
        <v>9200</v>
      </c>
    </row>
    <row r="19" spans="1:6" ht="15">
      <c r="A19" s="1526">
        <v>1170</v>
      </c>
      <c r="B19" s="1526"/>
      <c r="C19" s="1527" t="s">
        <v>243</v>
      </c>
      <c r="D19" s="1528"/>
      <c r="E19" s="1529"/>
      <c r="F19" s="1109">
        <f>SUM('1b.mell '!G72)</f>
        <v>209034</v>
      </c>
    </row>
    <row r="20" spans="1:6" ht="15">
      <c r="A20" s="1526">
        <v>1180</v>
      </c>
      <c r="B20" s="1526"/>
      <c r="C20" s="1527" t="s">
        <v>425</v>
      </c>
      <c r="D20" s="1528"/>
      <c r="E20" s="1529"/>
      <c r="F20" s="1109">
        <f>SUM('1b.mell '!G74)</f>
        <v>0</v>
      </c>
    </row>
    <row r="21" spans="1:6" ht="15">
      <c r="A21" s="1526">
        <v>1185</v>
      </c>
      <c r="B21" s="1526"/>
      <c r="C21" s="1527" t="s">
        <v>494</v>
      </c>
      <c r="D21" s="1528"/>
      <c r="E21" s="1529"/>
      <c r="F21" s="1109">
        <f>SUM('1b.mell '!G77)</f>
        <v>283729</v>
      </c>
    </row>
    <row r="22" spans="1:6" ht="15">
      <c r="A22" s="1526">
        <v>1210</v>
      </c>
      <c r="B22" s="1526"/>
      <c r="C22" s="1527" t="s">
        <v>254</v>
      </c>
      <c r="D22" s="1528"/>
      <c r="E22" s="1529"/>
      <c r="F22" s="1109">
        <f>SUM('1b.mell '!G88)</f>
        <v>235000</v>
      </c>
    </row>
    <row r="23" spans="1:6" ht="15">
      <c r="A23" s="1526">
        <v>1211</v>
      </c>
      <c r="B23" s="1526"/>
      <c r="C23" s="1527" t="s">
        <v>394</v>
      </c>
      <c r="D23" s="1528"/>
      <c r="E23" s="1529"/>
      <c r="F23" s="1109">
        <f>SUM('1b.mell '!G89)</f>
        <v>99520</v>
      </c>
    </row>
    <row r="24" spans="1:6" ht="15">
      <c r="A24" s="1526">
        <v>1231</v>
      </c>
      <c r="B24" s="1526"/>
      <c r="C24" s="1068" t="s">
        <v>1037</v>
      </c>
      <c r="D24" s="1069"/>
      <c r="E24" s="1070"/>
      <c r="F24" s="1109">
        <f>SUM('1b.mell '!G107)</f>
        <v>14127</v>
      </c>
    </row>
    <row r="25" spans="1:6" ht="15">
      <c r="A25" s="1526">
        <v>1241</v>
      </c>
      <c r="B25" s="1526"/>
      <c r="C25" s="1527" t="s">
        <v>1032</v>
      </c>
      <c r="D25" s="1528"/>
      <c r="E25" s="1529"/>
      <c r="F25" s="1109">
        <f>SUM('1b.mell '!G110)</f>
        <v>7852</v>
      </c>
    </row>
    <row r="26" spans="1:6" ht="15">
      <c r="A26" s="1526">
        <v>1250</v>
      </c>
      <c r="B26" s="1526"/>
      <c r="C26" s="1527" t="s">
        <v>233</v>
      </c>
      <c r="D26" s="1528"/>
      <c r="E26" s="1529"/>
      <c r="F26" s="1109">
        <f>SUM('1b.mell '!G112)</f>
        <v>13457</v>
      </c>
    </row>
    <row r="27" spans="1:6" ht="15">
      <c r="A27" s="1526">
        <v>1260</v>
      </c>
      <c r="B27" s="1526"/>
      <c r="C27" s="1527" t="s">
        <v>237</v>
      </c>
      <c r="D27" s="1528"/>
      <c r="E27" s="1529"/>
      <c r="F27" s="1109">
        <f>SUM('1b.mell '!G114)</f>
        <v>4645</v>
      </c>
    </row>
    <row r="28" spans="1:6" ht="15">
      <c r="A28" s="1526">
        <v>1262</v>
      </c>
      <c r="B28" s="1526"/>
      <c r="C28" s="1527" t="s">
        <v>488</v>
      </c>
      <c r="D28" s="1528"/>
      <c r="E28" s="1529"/>
      <c r="F28" s="1109">
        <f>SUM('1b.mell '!G116)</f>
        <v>5</v>
      </c>
    </row>
    <row r="29" spans="1:6" ht="15">
      <c r="A29" s="1526">
        <v>1270</v>
      </c>
      <c r="B29" s="1526"/>
      <c r="C29" s="1527" t="s">
        <v>239</v>
      </c>
      <c r="D29" s="1528"/>
      <c r="E29" s="1529"/>
      <c r="F29" s="1109">
        <f>SUM('1b.mell '!G117)</f>
        <v>1000</v>
      </c>
    </row>
    <row r="30" spans="1:6" ht="15">
      <c r="A30" s="1526">
        <v>1560</v>
      </c>
      <c r="B30" s="1526"/>
      <c r="C30" s="1068" t="s">
        <v>1038</v>
      </c>
      <c r="D30" s="1069"/>
      <c r="E30" s="1070"/>
      <c r="F30" s="1109">
        <f>SUM('1b.mell '!G262)</f>
        <v>22537</v>
      </c>
    </row>
    <row r="31" spans="1:6" ht="15">
      <c r="A31" s="1526">
        <v>1530</v>
      </c>
      <c r="B31" s="1526"/>
      <c r="C31" s="1068" t="s">
        <v>240</v>
      </c>
      <c r="D31" s="1069"/>
      <c r="E31" s="1070"/>
      <c r="F31" s="1109">
        <f>SUM('1b.mell '!G251)</f>
        <v>9189</v>
      </c>
    </row>
    <row r="32" spans="1:6" ht="15">
      <c r="A32" s="1526">
        <v>1401</v>
      </c>
      <c r="B32" s="1526"/>
      <c r="C32" s="1068" t="s">
        <v>460</v>
      </c>
      <c r="D32" s="1069"/>
      <c r="E32" s="1070"/>
      <c r="F32" s="1109">
        <f>SUM('1b.mell '!G193)</f>
        <v>44935</v>
      </c>
    </row>
    <row r="33" spans="1:6" ht="15">
      <c r="A33" s="1526">
        <v>1409</v>
      </c>
      <c r="B33" s="1526"/>
      <c r="C33" s="1068" t="s">
        <v>446</v>
      </c>
      <c r="D33" s="1069"/>
      <c r="E33" s="1070"/>
      <c r="F33" s="1109">
        <f>SUM('1b.mell '!G195)</f>
        <v>66</v>
      </c>
    </row>
    <row r="34" spans="1:6" ht="15">
      <c r="A34" s="1526">
        <v>1411</v>
      </c>
      <c r="B34" s="1526"/>
      <c r="C34" s="1527" t="s">
        <v>1032</v>
      </c>
      <c r="D34" s="1528"/>
      <c r="E34" s="1529"/>
      <c r="F34" s="1109">
        <f>SUM('1b.mell '!G197)</f>
        <v>45724</v>
      </c>
    </row>
    <row r="35" spans="1:6" ht="15">
      <c r="A35" s="1526">
        <v>1420</v>
      </c>
      <c r="B35" s="1526"/>
      <c r="C35" s="1527" t="s">
        <v>233</v>
      </c>
      <c r="D35" s="1528"/>
      <c r="E35" s="1529"/>
      <c r="F35" s="1109">
        <f>SUM('1b.mell '!G199)</f>
        <v>14799</v>
      </c>
    </row>
    <row r="36" spans="1:6" ht="15">
      <c r="A36" s="1526">
        <v>1422</v>
      </c>
      <c r="B36" s="1526"/>
      <c r="C36" s="1527" t="s">
        <v>237</v>
      </c>
      <c r="D36" s="1528"/>
      <c r="E36" s="1529"/>
      <c r="F36" s="1109">
        <f>SUM('1b.mell '!G201)</f>
        <v>72409</v>
      </c>
    </row>
    <row r="37" spans="1:6" ht="15">
      <c r="A37" s="1526">
        <v>1423</v>
      </c>
      <c r="B37" s="1526"/>
      <c r="C37" s="1527" t="s">
        <v>238</v>
      </c>
      <c r="D37" s="1528"/>
      <c r="E37" s="1529"/>
      <c r="F37" s="1109">
        <f>SUM('1b.mell '!G202)</f>
        <v>12215</v>
      </c>
    </row>
    <row r="38" spans="1:6" ht="15">
      <c r="A38" s="1526">
        <v>1424</v>
      </c>
      <c r="B38" s="1526"/>
      <c r="C38" s="1527" t="s">
        <v>488</v>
      </c>
      <c r="D38" s="1528"/>
      <c r="E38" s="1529"/>
      <c r="F38" s="1109">
        <f>SUM('1b.mell '!G203)</f>
        <v>27</v>
      </c>
    </row>
    <row r="39" spans="1:6" ht="15">
      <c r="A39" s="1526">
        <v>1425</v>
      </c>
      <c r="B39" s="1526"/>
      <c r="C39" s="1527" t="s">
        <v>239</v>
      </c>
      <c r="D39" s="1528"/>
      <c r="E39" s="1529"/>
      <c r="F39" s="1109">
        <f>SUM('1b.mell '!G204)</f>
        <v>6567</v>
      </c>
    </row>
    <row r="40" spans="1:6" ht="15">
      <c r="A40" s="1526">
        <v>1572</v>
      </c>
      <c r="B40" s="1526"/>
      <c r="C40" s="1527" t="s">
        <v>452</v>
      </c>
      <c r="D40" s="1528"/>
      <c r="E40" s="1529"/>
      <c r="F40" s="1109">
        <f>SUM('1b.mell '!G269)</f>
        <v>2000000</v>
      </c>
    </row>
    <row r="41" spans="1:6" ht="18" customHeight="1">
      <c r="A41" s="1530" t="s">
        <v>1039</v>
      </c>
      <c r="B41" s="1556" t="s">
        <v>1040</v>
      </c>
      <c r="C41" s="1556"/>
      <c r="D41" s="1556"/>
      <c r="E41" s="1556"/>
      <c r="F41" s="1560">
        <f>SUM(F44:F52)</f>
        <v>8294395</v>
      </c>
    </row>
    <row r="42" spans="1:6" ht="18.75" customHeight="1">
      <c r="A42" s="1530"/>
      <c r="B42" s="1556"/>
      <c r="C42" s="1556"/>
      <c r="D42" s="1556"/>
      <c r="E42" s="1556"/>
      <c r="F42" s="1561"/>
    </row>
    <row r="43" spans="1:6" ht="21.75" customHeight="1">
      <c r="A43" s="1530"/>
      <c r="B43" s="1556"/>
      <c r="C43" s="1556"/>
      <c r="D43" s="1556"/>
      <c r="E43" s="1556"/>
      <c r="F43" s="1562"/>
    </row>
    <row r="44" spans="1:6" ht="15">
      <c r="A44" s="1526">
        <v>1041</v>
      </c>
      <c r="B44" s="1526"/>
      <c r="C44" s="1527" t="s">
        <v>666</v>
      </c>
      <c r="D44" s="1528"/>
      <c r="E44" s="1529"/>
      <c r="F44" s="1109">
        <f>SUM('1b.mell '!G22)</f>
        <v>3109529</v>
      </c>
    </row>
    <row r="45" spans="1:6" ht="15">
      <c r="A45" s="1526">
        <v>1042</v>
      </c>
      <c r="B45" s="1526"/>
      <c r="C45" s="1527" t="s">
        <v>669</v>
      </c>
      <c r="D45" s="1528"/>
      <c r="E45" s="1529"/>
      <c r="F45" s="1109">
        <f>SUM('1b.mell '!G23)</f>
        <v>520471</v>
      </c>
    </row>
    <row r="46" spans="1:6" ht="15">
      <c r="A46" s="1526">
        <v>1051</v>
      </c>
      <c r="B46" s="1526"/>
      <c r="C46" s="1527" t="s">
        <v>1041</v>
      </c>
      <c r="D46" s="1528"/>
      <c r="E46" s="1529"/>
      <c r="F46" s="1109">
        <f>SUM('1b.mell '!G25)</f>
        <v>4289284</v>
      </c>
    </row>
    <row r="47" spans="1:6" ht="15">
      <c r="A47" s="1526">
        <v>1052</v>
      </c>
      <c r="B47" s="1526"/>
      <c r="C47" s="1527" t="s">
        <v>1042</v>
      </c>
      <c r="D47" s="1528"/>
      <c r="E47" s="1529"/>
      <c r="F47" s="1109">
        <f>SUM('1b.mell '!G26)</f>
        <v>200000</v>
      </c>
    </row>
    <row r="48" spans="1:6" ht="15">
      <c r="A48" s="1526">
        <v>1053</v>
      </c>
      <c r="B48" s="1526"/>
      <c r="C48" s="1527" t="s">
        <v>1043</v>
      </c>
      <c r="D48" s="1528"/>
      <c r="E48" s="1529"/>
      <c r="F48" s="1109">
        <f>SUM('1b.mell '!G27)</f>
        <v>140000</v>
      </c>
    </row>
    <row r="49" spans="1:6" ht="15">
      <c r="A49" s="1526">
        <v>1075</v>
      </c>
      <c r="B49" s="1526"/>
      <c r="C49" s="1527" t="s">
        <v>1044</v>
      </c>
      <c r="D49" s="1528"/>
      <c r="E49" s="1529"/>
      <c r="F49" s="1109">
        <f>SUM('1b.mell '!G32)</f>
        <v>10480</v>
      </c>
    </row>
    <row r="50" spans="1:6" ht="15">
      <c r="A50" s="1526">
        <v>1073</v>
      </c>
      <c r="B50" s="1526"/>
      <c r="C50" s="1068" t="s">
        <v>1045</v>
      </c>
      <c r="D50" s="1069"/>
      <c r="E50" s="1070"/>
      <c r="F50" s="1109">
        <f>SUM('1b.mell '!G30)</f>
        <v>0</v>
      </c>
    </row>
    <row r="51" spans="1:6" ht="15">
      <c r="A51" s="1526">
        <v>1076</v>
      </c>
      <c r="B51" s="1526"/>
      <c r="C51" s="1527" t="s">
        <v>1046</v>
      </c>
      <c r="D51" s="1528"/>
      <c r="E51" s="1529"/>
      <c r="F51" s="1109">
        <f>SUM('1b.mell '!G33)</f>
        <v>6660</v>
      </c>
    </row>
    <row r="52" spans="1:6" ht="15">
      <c r="A52" s="1526">
        <v>1305</v>
      </c>
      <c r="B52" s="1526"/>
      <c r="C52" s="1527" t="s">
        <v>9</v>
      </c>
      <c r="D52" s="1528"/>
      <c r="E52" s="1529"/>
      <c r="F52" s="1109">
        <f>SUM('1b.mell '!G152)</f>
        <v>17971</v>
      </c>
    </row>
    <row r="53" spans="1:6" ht="12.75">
      <c r="A53" s="1530" t="s">
        <v>883</v>
      </c>
      <c r="B53" s="1556" t="s">
        <v>884</v>
      </c>
      <c r="C53" s="1556"/>
      <c r="D53" s="1556"/>
      <c r="E53" s="1556"/>
      <c r="F53" s="1560">
        <f>SUM(F56:F69)</f>
        <v>1913058</v>
      </c>
    </row>
    <row r="54" spans="1:6" ht="12.75">
      <c r="A54" s="1530"/>
      <c r="B54" s="1556"/>
      <c r="C54" s="1556"/>
      <c r="D54" s="1556"/>
      <c r="E54" s="1556"/>
      <c r="F54" s="1561"/>
    </row>
    <row r="55" spans="1:6" ht="12.75">
      <c r="A55" s="1539"/>
      <c r="B55" s="1556"/>
      <c r="C55" s="1556"/>
      <c r="D55" s="1556"/>
      <c r="E55" s="1556"/>
      <c r="F55" s="1562"/>
    </row>
    <row r="56" spans="1:6" ht="15">
      <c r="A56" s="1526">
        <v>1091</v>
      </c>
      <c r="B56" s="1526"/>
      <c r="C56" s="1527" t="s">
        <v>1047</v>
      </c>
      <c r="D56" s="1528"/>
      <c r="E56" s="1529"/>
      <c r="F56" s="1109">
        <f>SUM('1b.mell '!G41)</f>
        <v>194956</v>
      </c>
    </row>
    <row r="57" spans="1:6" ht="15">
      <c r="A57" s="1526">
        <v>1094</v>
      </c>
      <c r="B57" s="1526"/>
      <c r="C57" s="1527" t="s">
        <v>1048</v>
      </c>
      <c r="D57" s="1528"/>
      <c r="E57" s="1529"/>
      <c r="F57" s="1109">
        <f>SUM('1b.mell '!G44)</f>
        <v>12000</v>
      </c>
    </row>
    <row r="58" spans="1:6" ht="15">
      <c r="A58" s="1526">
        <v>1095</v>
      </c>
      <c r="B58" s="1526"/>
      <c r="C58" s="1527" t="s">
        <v>1049</v>
      </c>
      <c r="D58" s="1528"/>
      <c r="E58" s="1529"/>
      <c r="F58" s="1109">
        <f>SUM('1b.mell '!G45)</f>
        <v>280000</v>
      </c>
    </row>
    <row r="59" spans="1:6" ht="15">
      <c r="A59" s="1526">
        <v>1096</v>
      </c>
      <c r="B59" s="1526"/>
      <c r="C59" s="1527" t="s">
        <v>674</v>
      </c>
      <c r="D59" s="1528"/>
      <c r="E59" s="1529"/>
      <c r="F59" s="1109">
        <f>SUM('1b.mell '!G46)</f>
        <v>290000</v>
      </c>
    </row>
    <row r="60" spans="1:6" ht="15">
      <c r="A60" s="1526">
        <v>1097</v>
      </c>
      <c r="B60" s="1526"/>
      <c r="C60" s="1527" t="s">
        <v>1050</v>
      </c>
      <c r="D60" s="1528"/>
      <c r="E60" s="1529"/>
      <c r="F60" s="1109">
        <f>SUM('1b.mell '!G47)</f>
        <v>3000</v>
      </c>
    </row>
    <row r="61" spans="1:6" ht="15">
      <c r="A61" s="1526">
        <v>1102</v>
      </c>
      <c r="B61" s="1526"/>
      <c r="C61" s="1527" t="s">
        <v>1051</v>
      </c>
      <c r="D61" s="1528"/>
      <c r="E61" s="1529"/>
      <c r="F61" s="1109">
        <f>SUM('1b.mell '!G51)</f>
        <v>109814</v>
      </c>
    </row>
    <row r="62" spans="1:6" ht="15">
      <c r="A62" s="1526">
        <v>1191</v>
      </c>
      <c r="B62" s="1526"/>
      <c r="C62" s="1527" t="s">
        <v>1052</v>
      </c>
      <c r="D62" s="1528"/>
      <c r="E62" s="1529"/>
      <c r="F62" s="1109">
        <f>SUM('1b.mell '!G81)</f>
        <v>459000</v>
      </c>
    </row>
    <row r="63" spans="1:6" ht="15">
      <c r="A63" s="1526">
        <v>1194</v>
      </c>
      <c r="B63" s="1526"/>
      <c r="C63" s="1527" t="s">
        <v>1053</v>
      </c>
      <c r="D63" s="1528"/>
      <c r="E63" s="1529"/>
      <c r="F63" s="1109">
        <f>SUM('1b.mell '!G82)</f>
        <v>200000</v>
      </c>
    </row>
    <row r="64" spans="1:6" ht="15">
      <c r="A64" s="1526">
        <v>1195</v>
      </c>
      <c r="B64" s="1526"/>
      <c r="C64" s="1527" t="s">
        <v>1054</v>
      </c>
      <c r="D64" s="1528"/>
      <c r="E64" s="1529"/>
      <c r="F64" s="1109">
        <f>SUM('1b.mell '!G83)</f>
        <v>327958</v>
      </c>
    </row>
    <row r="65" spans="1:6" ht="15">
      <c r="A65" s="1526">
        <v>1242</v>
      </c>
      <c r="B65" s="1526"/>
      <c r="C65" s="1527" t="s">
        <v>1048</v>
      </c>
      <c r="D65" s="1528"/>
      <c r="E65" s="1529"/>
      <c r="F65" s="1109">
        <f>SUM('1b.mell '!G111)</f>
        <v>10</v>
      </c>
    </row>
    <row r="66" spans="1:6" ht="15">
      <c r="A66" s="1526">
        <v>1290</v>
      </c>
      <c r="B66" s="1526"/>
      <c r="C66" s="1527" t="s">
        <v>515</v>
      </c>
      <c r="D66" s="1528"/>
      <c r="E66" s="1529"/>
      <c r="F66" s="1109">
        <f>SUM('1b.mell '!G129)</f>
        <v>0</v>
      </c>
    </row>
    <row r="67" spans="1:6" ht="15">
      <c r="A67" s="1526">
        <v>1440</v>
      </c>
      <c r="B67" s="1526"/>
      <c r="C67" s="1068" t="s">
        <v>515</v>
      </c>
      <c r="D67" s="1069"/>
      <c r="E67" s="1070"/>
      <c r="F67" s="1109">
        <f>SUM('1b.mell '!G216)</f>
        <v>0</v>
      </c>
    </row>
    <row r="68" spans="1:6" ht="15">
      <c r="A68" s="1526">
        <v>1412</v>
      </c>
      <c r="B68" s="1526"/>
      <c r="C68" s="1527" t="s">
        <v>1048</v>
      </c>
      <c r="D68" s="1528"/>
      <c r="E68" s="1529"/>
      <c r="F68" s="1109">
        <f>SUM('1b.mell '!G198)</f>
        <v>34435</v>
      </c>
    </row>
    <row r="69" spans="1:6" ht="15">
      <c r="A69" s="1526">
        <v>1436</v>
      </c>
      <c r="B69" s="1526"/>
      <c r="C69" s="1527" t="s">
        <v>494</v>
      </c>
      <c r="D69" s="1528"/>
      <c r="E69" s="1529"/>
      <c r="F69" s="1113">
        <f>SUM('1b.mell '!G213)</f>
        <v>1885</v>
      </c>
    </row>
    <row r="70" spans="1:6" ht="12.75">
      <c r="A70" s="1530" t="s">
        <v>1055</v>
      </c>
      <c r="B70" s="1556" t="s">
        <v>1056</v>
      </c>
      <c r="C70" s="1556"/>
      <c r="D70" s="1556"/>
      <c r="E70" s="1556"/>
      <c r="F70" s="1560">
        <f>SUM(F73:F77)</f>
        <v>2087823</v>
      </c>
    </row>
    <row r="71" spans="1:6" ht="12.75">
      <c r="A71" s="1530"/>
      <c r="B71" s="1556"/>
      <c r="C71" s="1556"/>
      <c r="D71" s="1556"/>
      <c r="E71" s="1556"/>
      <c r="F71" s="1561"/>
    </row>
    <row r="72" spans="1:6" ht="12.75">
      <c r="A72" s="1539"/>
      <c r="B72" s="1556"/>
      <c r="C72" s="1556"/>
      <c r="D72" s="1556"/>
      <c r="E72" s="1556"/>
      <c r="F72" s="1562"/>
    </row>
    <row r="73" spans="1:6" ht="15">
      <c r="A73" s="1526">
        <v>1010</v>
      </c>
      <c r="B73" s="1526"/>
      <c r="C73" s="1527" t="s">
        <v>217</v>
      </c>
      <c r="D73" s="1528"/>
      <c r="E73" s="1529"/>
      <c r="F73" s="1109">
        <f>SUM('1b.mell '!G10)</f>
        <v>1978771</v>
      </c>
    </row>
    <row r="74" spans="1:6" ht="15">
      <c r="A74" s="1526">
        <v>1020</v>
      </c>
      <c r="B74" s="1526"/>
      <c r="C74" s="1527" t="s">
        <v>221</v>
      </c>
      <c r="D74" s="1528"/>
      <c r="E74" s="1529"/>
      <c r="F74" s="1109">
        <f>SUM('1b.mell '!G17)</f>
        <v>108</v>
      </c>
    </row>
    <row r="75" spans="1:6" ht="15">
      <c r="A75" s="1526">
        <v>1165</v>
      </c>
      <c r="B75" s="1526"/>
      <c r="C75" s="1527" t="s">
        <v>242</v>
      </c>
      <c r="D75" s="1528"/>
      <c r="E75" s="1529"/>
      <c r="F75" s="1109">
        <f>SUM('1b.mell '!G71)</f>
        <v>52680</v>
      </c>
    </row>
    <row r="76" spans="1:6" ht="15">
      <c r="A76" s="1526">
        <v>1574</v>
      </c>
      <c r="B76" s="1526"/>
      <c r="C76" s="1527" t="s">
        <v>489</v>
      </c>
      <c r="D76" s="1528"/>
      <c r="E76" s="1529"/>
      <c r="F76" s="1109">
        <f>SUM('1b.mell '!G271)</f>
        <v>42784</v>
      </c>
    </row>
    <row r="77" spans="1:6" ht="15">
      <c r="A77" s="1526">
        <v>1030</v>
      </c>
      <c r="B77" s="1526"/>
      <c r="C77" s="1527" t="s">
        <v>460</v>
      </c>
      <c r="D77" s="1528"/>
      <c r="E77" s="1529"/>
      <c r="F77" s="1109">
        <f>SUM('1b.mell '!G18)</f>
        <v>13480</v>
      </c>
    </row>
    <row r="78" spans="1:6" ht="12.75">
      <c r="A78" s="1530" t="s">
        <v>1057</v>
      </c>
      <c r="B78" s="1556" t="s">
        <v>1058</v>
      </c>
      <c r="C78" s="1556"/>
      <c r="D78" s="1556"/>
      <c r="E78" s="1556"/>
      <c r="F78" s="1560">
        <f>SUM(F81:F82)</f>
        <v>6327887</v>
      </c>
    </row>
    <row r="79" spans="1:6" ht="12.75">
      <c r="A79" s="1530"/>
      <c r="B79" s="1556"/>
      <c r="C79" s="1556"/>
      <c r="D79" s="1556"/>
      <c r="E79" s="1556"/>
      <c r="F79" s="1561"/>
    </row>
    <row r="80" spans="1:6" ht="12.75">
      <c r="A80" s="1539"/>
      <c r="B80" s="1556"/>
      <c r="C80" s="1556"/>
      <c r="D80" s="1556"/>
      <c r="E80" s="1556"/>
      <c r="F80" s="1562"/>
    </row>
    <row r="81" spans="1:6" ht="15">
      <c r="A81" s="1526">
        <v>1570.1581</v>
      </c>
      <c r="B81" s="1526"/>
      <c r="C81" s="1527" t="s">
        <v>1059</v>
      </c>
      <c r="D81" s="1528"/>
      <c r="E81" s="1529"/>
      <c r="F81" s="1109">
        <f>SUM('1b.mell '!G267+'1b.mell '!G273)</f>
        <v>6327413</v>
      </c>
    </row>
    <row r="82" spans="1:6" ht="15">
      <c r="A82" s="1526">
        <v>1573</v>
      </c>
      <c r="B82" s="1526"/>
      <c r="C82" s="1527" t="s">
        <v>1060</v>
      </c>
      <c r="D82" s="1528"/>
      <c r="E82" s="1529"/>
      <c r="F82" s="1113">
        <f>SUM('1b.mell '!G270)</f>
        <v>474</v>
      </c>
    </row>
    <row r="83" spans="1:6" ht="12.75">
      <c r="A83" s="1530" t="s">
        <v>923</v>
      </c>
      <c r="B83" s="1556" t="s">
        <v>924</v>
      </c>
      <c r="C83" s="1556"/>
      <c r="D83" s="1556"/>
      <c r="E83" s="1556"/>
      <c r="F83" s="1560">
        <f>SUM(F86:F91)</f>
        <v>1087728</v>
      </c>
    </row>
    <row r="84" spans="1:6" ht="12.75">
      <c r="A84" s="1530"/>
      <c r="B84" s="1556"/>
      <c r="C84" s="1556"/>
      <c r="D84" s="1556"/>
      <c r="E84" s="1556"/>
      <c r="F84" s="1561"/>
    </row>
    <row r="85" spans="1:6" ht="12.75">
      <c r="A85" s="1530"/>
      <c r="B85" s="1556"/>
      <c r="C85" s="1556"/>
      <c r="D85" s="1556"/>
      <c r="E85" s="1556"/>
      <c r="F85" s="1562"/>
    </row>
    <row r="86" spans="1:6" ht="15">
      <c r="A86" s="1526">
        <v>1077</v>
      </c>
      <c r="B86" s="1526"/>
      <c r="C86" s="1527" t="s">
        <v>1061</v>
      </c>
      <c r="D86" s="1528"/>
      <c r="E86" s="1529"/>
      <c r="F86" s="1109">
        <f>SUM('1b.mell '!G34)</f>
        <v>237662</v>
      </c>
    </row>
    <row r="87" spans="1:6" ht="15">
      <c r="A87" s="1526">
        <v>1079</v>
      </c>
      <c r="B87" s="1526"/>
      <c r="C87" s="1527" t="s">
        <v>1062</v>
      </c>
      <c r="D87" s="1528"/>
      <c r="E87" s="1529"/>
      <c r="F87" s="1109">
        <f>SUM('1b.mell '!G36)</f>
        <v>2309</v>
      </c>
    </row>
    <row r="88" spans="1:6" ht="15">
      <c r="A88" s="1526">
        <v>1082</v>
      </c>
      <c r="B88" s="1526"/>
      <c r="C88" s="1527" t="s">
        <v>1063</v>
      </c>
      <c r="D88" s="1528"/>
      <c r="E88" s="1529"/>
      <c r="F88" s="1109">
        <f>SUM('1b.mell '!G37)</f>
        <v>32253</v>
      </c>
    </row>
    <row r="89" spans="1:6" ht="15">
      <c r="A89" s="1526">
        <v>1092</v>
      </c>
      <c r="B89" s="1526"/>
      <c r="C89" s="1527" t="s">
        <v>1064</v>
      </c>
      <c r="D89" s="1528"/>
      <c r="E89" s="1529"/>
      <c r="F89" s="1109">
        <f>SUM('1b.mell '!G42)</f>
        <v>744400</v>
      </c>
    </row>
    <row r="90" spans="1:6" ht="15">
      <c r="A90" s="1526">
        <v>1098</v>
      </c>
      <c r="B90" s="1526"/>
      <c r="C90" s="1527" t="s">
        <v>1065</v>
      </c>
      <c r="D90" s="1528"/>
      <c r="E90" s="1529"/>
      <c r="F90" s="1109">
        <f>SUM('1b.mell '!G48)</f>
        <v>4815</v>
      </c>
    </row>
    <row r="91" spans="1:6" ht="15">
      <c r="A91" s="1526">
        <v>1103</v>
      </c>
      <c r="B91" s="1526"/>
      <c r="C91" s="1527" t="s">
        <v>1066</v>
      </c>
      <c r="D91" s="1528"/>
      <c r="E91" s="1529"/>
      <c r="F91" s="1109">
        <f>SUM('1b.mell '!G52)</f>
        <v>66289</v>
      </c>
    </row>
    <row r="92" spans="1:6" ht="12.75">
      <c r="A92" s="1530" t="s">
        <v>986</v>
      </c>
      <c r="B92" s="1556" t="s">
        <v>1067</v>
      </c>
      <c r="C92" s="1556"/>
      <c r="D92" s="1556"/>
      <c r="E92" s="1556"/>
      <c r="F92" s="1560">
        <f>SUM(F95)</f>
        <v>195161</v>
      </c>
    </row>
    <row r="93" spans="1:6" ht="12.75">
      <c r="A93" s="1530"/>
      <c r="B93" s="1556"/>
      <c r="C93" s="1556"/>
      <c r="D93" s="1556"/>
      <c r="E93" s="1556"/>
      <c r="F93" s="1561"/>
    </row>
    <row r="94" spans="1:6" ht="12.75">
      <c r="A94" s="1530"/>
      <c r="B94" s="1556"/>
      <c r="C94" s="1556"/>
      <c r="D94" s="1556"/>
      <c r="E94" s="1556"/>
      <c r="F94" s="1562"/>
    </row>
    <row r="95" spans="1:6" ht="15">
      <c r="A95" s="1526">
        <v>1421</v>
      </c>
      <c r="B95" s="1526"/>
      <c r="C95" s="1527" t="s">
        <v>236</v>
      </c>
      <c r="D95" s="1528"/>
      <c r="E95" s="1529"/>
      <c r="F95" s="1109">
        <f>SUM('1b.mell '!G200)</f>
        <v>195161</v>
      </c>
    </row>
    <row r="96" spans="1:6" ht="12.75">
      <c r="A96" s="1563" t="s">
        <v>158</v>
      </c>
      <c r="B96" s="1564"/>
      <c r="C96" s="1564"/>
      <c r="D96" s="1564"/>
      <c r="E96" s="1564"/>
      <c r="F96" s="1567">
        <f>SUM(F92+F83+F78+F70+F53+F41+F5)</f>
        <v>23575289</v>
      </c>
    </row>
    <row r="97" spans="1:6" ht="12.75">
      <c r="A97" s="1565"/>
      <c r="B97" s="1566"/>
      <c r="C97" s="1566"/>
      <c r="D97" s="1566"/>
      <c r="E97" s="1566"/>
      <c r="F97" s="1568"/>
    </row>
  </sheetData>
  <sheetProtection/>
  <mergeCells count="159">
    <mergeCell ref="A1:F1"/>
    <mergeCell ref="A2:F2"/>
    <mergeCell ref="A3:F3"/>
    <mergeCell ref="A5:A7"/>
    <mergeCell ref="B5:E7"/>
    <mergeCell ref="F5:F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0:B20"/>
    <mergeCell ref="C20:E20"/>
    <mergeCell ref="A19:B19"/>
    <mergeCell ref="C19:E19"/>
    <mergeCell ref="A24:B24"/>
    <mergeCell ref="A25:B25"/>
    <mergeCell ref="C25:E25"/>
    <mergeCell ref="A26:B26"/>
    <mergeCell ref="C26:E26"/>
    <mergeCell ref="A21:B21"/>
    <mergeCell ref="C21:E21"/>
    <mergeCell ref="A22:B22"/>
    <mergeCell ref="C22:E22"/>
    <mergeCell ref="A23:B23"/>
    <mergeCell ref="A27:B27"/>
    <mergeCell ref="C27:E27"/>
    <mergeCell ref="A28:B28"/>
    <mergeCell ref="C28:E28"/>
    <mergeCell ref="A29:B29"/>
    <mergeCell ref="C29:E29"/>
    <mergeCell ref="A30:B30"/>
    <mergeCell ref="A31:B31"/>
    <mergeCell ref="A32:B32"/>
    <mergeCell ref="A33:B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A43"/>
    <mergeCell ref="B41:E43"/>
    <mergeCell ref="F41:F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A51:B51"/>
    <mergeCell ref="C51:E51"/>
    <mergeCell ref="A52:B52"/>
    <mergeCell ref="C52:E52"/>
    <mergeCell ref="A53:A55"/>
    <mergeCell ref="B53:E55"/>
    <mergeCell ref="F53:F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A68:B68"/>
    <mergeCell ref="C68:E68"/>
    <mergeCell ref="A69:B69"/>
    <mergeCell ref="C69:E69"/>
    <mergeCell ref="A70:A72"/>
    <mergeCell ref="B70:E72"/>
    <mergeCell ref="F70:F72"/>
    <mergeCell ref="A73:B73"/>
    <mergeCell ref="C73:E73"/>
    <mergeCell ref="A74:B74"/>
    <mergeCell ref="C74:E74"/>
    <mergeCell ref="A75:B75"/>
    <mergeCell ref="C75:E75"/>
    <mergeCell ref="F83:F85"/>
    <mergeCell ref="A86:B86"/>
    <mergeCell ref="C86:E86"/>
    <mergeCell ref="A77:B77"/>
    <mergeCell ref="C77:E77"/>
    <mergeCell ref="A78:A80"/>
    <mergeCell ref="B78:E80"/>
    <mergeCell ref="F78:F80"/>
    <mergeCell ref="A81:B81"/>
    <mergeCell ref="C81:E81"/>
    <mergeCell ref="A89:B89"/>
    <mergeCell ref="C89:E89"/>
    <mergeCell ref="A82:B82"/>
    <mergeCell ref="C82:E82"/>
    <mergeCell ref="A83:A85"/>
    <mergeCell ref="B83:E85"/>
    <mergeCell ref="A96:E97"/>
    <mergeCell ref="F96:F97"/>
    <mergeCell ref="A90:B90"/>
    <mergeCell ref="C90:E90"/>
    <mergeCell ref="A91:B91"/>
    <mergeCell ref="C91:E91"/>
    <mergeCell ref="A92:A94"/>
    <mergeCell ref="B92:E94"/>
    <mergeCell ref="C23:E23"/>
    <mergeCell ref="A76:B76"/>
    <mergeCell ref="C76:E76"/>
    <mergeCell ref="F92:F94"/>
    <mergeCell ref="A95:B95"/>
    <mergeCell ref="C95:E95"/>
    <mergeCell ref="A87:B87"/>
    <mergeCell ref="C87:E87"/>
    <mergeCell ref="A88:B88"/>
    <mergeCell ref="C88:E88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showZeros="0" zoomScaleSheetLayoutView="100" zoomScalePageLayoutView="0" workbookViewId="0" topLeftCell="C52">
      <selection activeCell="H76" sqref="H76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7" width="12.125" style="18" customWidth="1"/>
    <col min="8" max="8" width="9.00390625" style="18" customWidth="1"/>
    <col min="9" max="16384" width="9.125" style="18" customWidth="1"/>
  </cols>
  <sheetData>
    <row r="1" spans="1:8" ht="12.75">
      <c r="A1" s="1273" t="s">
        <v>288</v>
      </c>
      <c r="B1" s="1273"/>
      <c r="C1" s="1263"/>
      <c r="D1" s="1263"/>
      <c r="E1" s="1263"/>
      <c r="F1" s="1263"/>
      <c r="G1" s="1263"/>
      <c r="H1" s="1263"/>
    </row>
    <row r="2" spans="1:8" ht="12.75">
      <c r="A2" s="1273" t="s">
        <v>1071</v>
      </c>
      <c r="B2" s="1273"/>
      <c r="C2" s="1263"/>
      <c r="D2" s="1263"/>
      <c r="E2" s="1263"/>
      <c r="F2" s="1263"/>
      <c r="G2" s="1263"/>
      <c r="H2" s="1263"/>
    </row>
    <row r="3" spans="1:2" ht="9" customHeight="1">
      <c r="A3" s="90"/>
      <c r="B3" s="90"/>
    </row>
    <row r="4" spans="1:8" ht="12" customHeight="1">
      <c r="A4" s="80"/>
      <c r="B4" s="79"/>
      <c r="C4" s="76"/>
      <c r="D4" s="76"/>
      <c r="E4" s="76"/>
      <c r="F4" s="76"/>
      <c r="G4" s="76"/>
      <c r="H4" s="76" t="s">
        <v>191</v>
      </c>
    </row>
    <row r="5" spans="1:8" s="20" customFormat="1" ht="12" customHeight="1">
      <c r="A5" s="83"/>
      <c r="B5" s="19"/>
      <c r="C5" s="1258" t="s">
        <v>1130</v>
      </c>
      <c r="D5" s="1258" t="s">
        <v>1187</v>
      </c>
      <c r="E5" s="1258" t="s">
        <v>1203</v>
      </c>
      <c r="F5" s="1258" t="s">
        <v>1224</v>
      </c>
      <c r="G5" s="1258" t="s">
        <v>1229</v>
      </c>
      <c r="H5" s="1270" t="s">
        <v>1237</v>
      </c>
    </row>
    <row r="6" spans="1:8" s="20" customFormat="1" ht="12" customHeight="1">
      <c r="A6" s="1" t="s">
        <v>199</v>
      </c>
      <c r="B6" s="1" t="s">
        <v>171</v>
      </c>
      <c r="C6" s="1274"/>
      <c r="D6" s="1274"/>
      <c r="E6" s="1274"/>
      <c r="F6" s="1274"/>
      <c r="G6" s="1274"/>
      <c r="H6" s="1271"/>
    </row>
    <row r="7" spans="1:8" s="20" customFormat="1" ht="12.75" customHeight="1" thickBot="1">
      <c r="A7" s="21"/>
      <c r="B7" s="21"/>
      <c r="C7" s="1275"/>
      <c r="D7" s="1275"/>
      <c r="E7" s="1275"/>
      <c r="F7" s="1275"/>
      <c r="G7" s="1275"/>
      <c r="H7" s="1272"/>
    </row>
    <row r="8" spans="1:8" ht="12" customHeight="1">
      <c r="A8" s="2" t="s">
        <v>172</v>
      </c>
      <c r="B8" s="3" t="s">
        <v>173</v>
      </c>
      <c r="C8" s="14" t="s">
        <v>174</v>
      </c>
      <c r="D8" s="14" t="s">
        <v>175</v>
      </c>
      <c r="E8" s="14" t="s">
        <v>176</v>
      </c>
      <c r="F8" s="14" t="s">
        <v>47</v>
      </c>
      <c r="G8" s="14" t="s">
        <v>386</v>
      </c>
      <c r="H8" s="14" t="s">
        <v>618</v>
      </c>
    </row>
    <row r="9" spans="1:8" ht="15" customHeight="1">
      <c r="A9" s="2"/>
      <c r="B9" s="100" t="s">
        <v>289</v>
      </c>
      <c r="C9" s="7"/>
      <c r="D9" s="7"/>
      <c r="E9" s="7"/>
      <c r="F9" s="7"/>
      <c r="G9" s="7"/>
      <c r="H9" s="5"/>
    </row>
    <row r="10" spans="1:8" ht="12">
      <c r="A10" s="2"/>
      <c r="B10" s="88"/>
      <c r="C10" s="299"/>
      <c r="D10" s="299"/>
      <c r="E10" s="299"/>
      <c r="F10" s="299"/>
      <c r="G10" s="299"/>
      <c r="H10" s="5"/>
    </row>
    <row r="11" spans="1:8" ht="12">
      <c r="A11" s="4">
        <v>1710</v>
      </c>
      <c r="B11" s="4" t="s">
        <v>337</v>
      </c>
      <c r="C11" s="302">
        <f>SUM(C12:C19)</f>
        <v>1951332</v>
      </c>
      <c r="D11" s="302">
        <f>SUM(D12:D19)</f>
        <v>2141938</v>
      </c>
      <c r="E11" s="302">
        <f>SUM(E12:E19)</f>
        <v>2147590</v>
      </c>
      <c r="F11" s="302">
        <f>SUM(F12:F19)</f>
        <v>2147788</v>
      </c>
      <c r="G11" s="302">
        <f>SUM(G12:G19)</f>
        <v>2144085</v>
      </c>
      <c r="H11" s="189">
        <f>SUM(G11/F11)</f>
        <v>0.9982759006009904</v>
      </c>
    </row>
    <row r="12" spans="1:8" ht="12">
      <c r="A12" s="7">
        <v>1711</v>
      </c>
      <c r="B12" s="7" t="s">
        <v>290</v>
      </c>
      <c r="C12" s="299">
        <f>SUM('3a.m.'!C53)</f>
        <v>1256708</v>
      </c>
      <c r="D12" s="299">
        <f>SUM('3a.m.'!D53)</f>
        <v>1300655</v>
      </c>
      <c r="E12" s="299">
        <f>SUM('3a.m.'!E53)</f>
        <v>1302838</v>
      </c>
      <c r="F12" s="299">
        <f>SUM('3a.m.'!F53)</f>
        <v>1297004</v>
      </c>
      <c r="G12" s="299">
        <f>SUM('3a.m.'!G53)</f>
        <v>1297168</v>
      </c>
      <c r="H12" s="854">
        <f aca="true" t="shared" si="0" ref="H12:H74">SUM(G12/F12)</f>
        <v>1.0001264452538312</v>
      </c>
    </row>
    <row r="13" spans="1:8" ht="12">
      <c r="A13" s="7">
        <v>1712</v>
      </c>
      <c r="B13" s="7" t="s">
        <v>113</v>
      </c>
      <c r="C13" s="299">
        <f>SUM('3a.m.'!C54)</f>
        <v>270267</v>
      </c>
      <c r="D13" s="299">
        <f>SUM('3a.m.'!D54)</f>
        <v>304951</v>
      </c>
      <c r="E13" s="299">
        <f>SUM('3a.m.'!E54)</f>
        <v>305084</v>
      </c>
      <c r="F13" s="299">
        <f>SUM('3a.m.'!F54)</f>
        <v>311116</v>
      </c>
      <c r="G13" s="299">
        <f>SUM('3a.m.'!G54)</f>
        <v>311148</v>
      </c>
      <c r="H13" s="854">
        <f t="shared" si="0"/>
        <v>1.000102855526556</v>
      </c>
    </row>
    <row r="14" spans="1:8" ht="12">
      <c r="A14" s="7">
        <v>1713</v>
      </c>
      <c r="B14" s="7" t="s">
        <v>114</v>
      </c>
      <c r="C14" s="299">
        <f>SUM('3a.m.'!C55)</f>
        <v>326187</v>
      </c>
      <c r="D14" s="299">
        <f>SUM('3a.m.'!D55)</f>
        <v>387422</v>
      </c>
      <c r="E14" s="299">
        <f>SUM('3a.m.'!E55)</f>
        <v>413258</v>
      </c>
      <c r="F14" s="299">
        <f>SUM('3a.m.'!F55)</f>
        <v>402258</v>
      </c>
      <c r="G14" s="299">
        <f>SUM('3a.m.'!G55)</f>
        <v>398822</v>
      </c>
      <c r="H14" s="854">
        <f t="shared" si="0"/>
        <v>0.9914582183573726</v>
      </c>
    </row>
    <row r="15" spans="1:8" ht="12">
      <c r="A15" s="7">
        <v>1714</v>
      </c>
      <c r="B15" s="7" t="s">
        <v>124</v>
      </c>
      <c r="C15" s="299">
        <f>SUM('3a.m.'!C56)</f>
        <v>0</v>
      </c>
      <c r="D15" s="299">
        <f>SUM('3a.m.'!D56)</f>
        <v>0</v>
      </c>
      <c r="E15" s="299">
        <f>SUM('3a.m.'!E56)</f>
        <v>0</v>
      </c>
      <c r="F15" s="299">
        <f>SUM('3a.m.'!F56)</f>
        <v>0</v>
      </c>
      <c r="G15" s="299">
        <f>SUM('3a.m.'!G56)</f>
        <v>0</v>
      </c>
      <c r="H15" s="854"/>
    </row>
    <row r="16" spans="1:8" ht="12">
      <c r="A16" s="7">
        <v>1715</v>
      </c>
      <c r="B16" s="5" t="s">
        <v>307</v>
      </c>
      <c r="C16" s="299">
        <f>SUM('3a.m.'!C57)</f>
        <v>0</v>
      </c>
      <c r="D16" s="299">
        <f>SUM('3a.m.'!D57)</f>
        <v>576</v>
      </c>
      <c r="E16" s="299">
        <f>SUM('3a.m.'!E57)</f>
        <v>576</v>
      </c>
      <c r="F16" s="299">
        <f>SUM('3a.m.'!F57)</f>
        <v>576</v>
      </c>
      <c r="G16" s="299">
        <f>SUM('3a.m.'!G57)</f>
        <v>576</v>
      </c>
      <c r="H16" s="854">
        <f t="shared" si="0"/>
        <v>1</v>
      </c>
    </row>
    <row r="17" spans="1:8" ht="12">
      <c r="A17" s="7">
        <v>1716</v>
      </c>
      <c r="B17" s="42" t="s">
        <v>261</v>
      </c>
      <c r="C17" s="299">
        <f>SUM('3a.m.'!C61)</f>
        <v>88170</v>
      </c>
      <c r="D17" s="299">
        <f>SUM('3a.m.'!D61)</f>
        <v>138334</v>
      </c>
      <c r="E17" s="299">
        <f>SUM('3a.m.'!E61)</f>
        <v>115834</v>
      </c>
      <c r="F17" s="299">
        <f>SUM('3a.m.'!F61)</f>
        <v>126834</v>
      </c>
      <c r="G17" s="299">
        <f>SUM('3a.m.'!G61)</f>
        <v>126834</v>
      </c>
      <c r="H17" s="854">
        <f t="shared" si="0"/>
        <v>1</v>
      </c>
    </row>
    <row r="18" spans="1:8" ht="12">
      <c r="A18" s="7">
        <v>1717</v>
      </c>
      <c r="B18" s="43" t="s">
        <v>262</v>
      </c>
      <c r="C18" s="299">
        <f>SUM('3a.m.'!C60)</f>
        <v>0</v>
      </c>
      <c r="D18" s="299">
        <f>SUM('3a.m.'!D60)</f>
        <v>0</v>
      </c>
      <c r="E18" s="299">
        <f>SUM('3a.m.'!E60)</f>
        <v>0</v>
      </c>
      <c r="F18" s="299">
        <f>SUM('3a.m.'!F60)</f>
        <v>0</v>
      </c>
      <c r="G18" s="299">
        <f>SUM('3a.m.'!G60)</f>
        <v>0</v>
      </c>
      <c r="H18" s="854"/>
    </row>
    <row r="19" spans="1:8" ht="12">
      <c r="A19" s="7">
        <v>1718</v>
      </c>
      <c r="B19" s="43" t="s">
        <v>477</v>
      </c>
      <c r="C19" s="299">
        <f>SUM('3a.m.'!C62)</f>
        <v>10000</v>
      </c>
      <c r="D19" s="299">
        <f>SUM('3a.m.'!D62)</f>
        <v>10000</v>
      </c>
      <c r="E19" s="299">
        <f>SUM('3a.m.'!E62)</f>
        <v>10000</v>
      </c>
      <c r="F19" s="299">
        <f>SUM('3a.m.'!F62)</f>
        <v>10000</v>
      </c>
      <c r="G19" s="299">
        <f>SUM('3a.m.'!G62)</f>
        <v>9537</v>
      </c>
      <c r="H19" s="854">
        <f t="shared" si="0"/>
        <v>0.9537</v>
      </c>
    </row>
    <row r="20" spans="1:8" ht="12">
      <c r="A20" s="7"/>
      <c r="B20" s="7"/>
      <c r="C20" s="299"/>
      <c r="D20" s="299"/>
      <c r="E20" s="299"/>
      <c r="F20" s="299"/>
      <c r="G20" s="299"/>
      <c r="H20" s="189"/>
    </row>
    <row r="21" spans="1:8" ht="12.75">
      <c r="A21" s="7"/>
      <c r="B21" s="101" t="s">
        <v>329</v>
      </c>
      <c r="C21" s="299"/>
      <c r="D21" s="299"/>
      <c r="E21" s="299"/>
      <c r="F21" s="299"/>
      <c r="G21" s="299"/>
      <c r="H21" s="189"/>
    </row>
    <row r="22" spans="1:8" ht="6.75" customHeight="1">
      <c r="A22" s="7"/>
      <c r="B22" s="7"/>
      <c r="C22" s="299"/>
      <c r="D22" s="299"/>
      <c r="E22" s="299"/>
      <c r="F22" s="299"/>
      <c r="G22" s="299"/>
      <c r="H22" s="189"/>
    </row>
    <row r="23" spans="1:8" ht="12">
      <c r="A23" s="71">
        <v>1740</v>
      </c>
      <c r="B23" s="71" t="s">
        <v>82</v>
      </c>
      <c r="C23" s="303">
        <f>SUM(C24:C31)</f>
        <v>718998</v>
      </c>
      <c r="D23" s="303">
        <f>SUM(D24:D31)</f>
        <v>796230</v>
      </c>
      <c r="E23" s="303">
        <f>SUM(E24:E31)</f>
        <v>796313</v>
      </c>
      <c r="F23" s="303">
        <f>SUM(F24:F31)</f>
        <v>796333</v>
      </c>
      <c r="G23" s="303">
        <f>SUM(G24:G31)</f>
        <v>794325</v>
      </c>
      <c r="H23" s="189">
        <f t="shared" si="0"/>
        <v>0.9974784418076358</v>
      </c>
    </row>
    <row r="24" spans="1:8" ht="12">
      <c r="A24" s="7">
        <v>1741</v>
      </c>
      <c r="B24" s="7" t="s">
        <v>290</v>
      </c>
      <c r="C24" s="299">
        <f>SUM('3b.m.'!C36)</f>
        <v>394562</v>
      </c>
      <c r="D24" s="299">
        <f>SUM('3b.m.'!D36)</f>
        <v>402141</v>
      </c>
      <c r="E24" s="299">
        <f>SUM('3b.m.'!E36)</f>
        <v>402211</v>
      </c>
      <c r="F24" s="299">
        <f>SUM('3b.m.'!F36)</f>
        <v>402228</v>
      </c>
      <c r="G24" s="299">
        <f>SUM('3b.m.'!G36)</f>
        <v>402246</v>
      </c>
      <c r="H24" s="854">
        <f t="shared" si="0"/>
        <v>1.0000447507383872</v>
      </c>
    </row>
    <row r="25" spans="1:8" ht="12">
      <c r="A25" s="7">
        <v>1742</v>
      </c>
      <c r="B25" s="7" t="s">
        <v>113</v>
      </c>
      <c r="C25" s="299">
        <f>SUM('3b.m.'!C37)</f>
        <v>79961</v>
      </c>
      <c r="D25" s="299">
        <f>SUM('3b.m.'!D37)</f>
        <v>84327</v>
      </c>
      <c r="E25" s="299">
        <f>SUM('3b.m.'!E37)</f>
        <v>84340</v>
      </c>
      <c r="F25" s="299">
        <f>SUM('3b.m.'!F37)</f>
        <v>84343</v>
      </c>
      <c r="G25" s="299">
        <f>SUM('3b.m.'!G37)</f>
        <v>84346</v>
      </c>
      <c r="H25" s="854">
        <f t="shared" si="0"/>
        <v>1.0000355690454454</v>
      </c>
    </row>
    <row r="26" spans="1:8" ht="12">
      <c r="A26" s="7">
        <v>1743</v>
      </c>
      <c r="B26" s="7" t="s">
        <v>114</v>
      </c>
      <c r="C26" s="299">
        <f>SUM('3b.m.'!C38)</f>
        <v>231475</v>
      </c>
      <c r="D26" s="299">
        <f>SUM('3b.m.'!D38)</f>
        <v>282183</v>
      </c>
      <c r="E26" s="299">
        <f>SUM('3b.m.'!E38)</f>
        <v>289663</v>
      </c>
      <c r="F26" s="299">
        <f>SUM('3b.m.'!F38)</f>
        <v>289663</v>
      </c>
      <c r="G26" s="299">
        <f>SUM('3b.m.'!G38)</f>
        <v>287634</v>
      </c>
      <c r="H26" s="854">
        <f t="shared" si="0"/>
        <v>0.9929953083410722</v>
      </c>
    </row>
    <row r="27" spans="1:8" ht="12">
      <c r="A27" s="7">
        <v>1744</v>
      </c>
      <c r="B27" s="7" t="s">
        <v>124</v>
      </c>
      <c r="C27" s="299">
        <f>SUM('3b.m.'!C39)</f>
        <v>0</v>
      </c>
      <c r="D27" s="299">
        <f>SUM('3b.m.'!D39)</f>
        <v>0</v>
      </c>
      <c r="E27" s="299">
        <f>SUM('3b.m.'!E39)</f>
        <v>0</v>
      </c>
      <c r="F27" s="299">
        <f>SUM('3b.m.'!F39)</f>
        <v>0</v>
      </c>
      <c r="G27" s="299">
        <f>SUM('3b.m.'!G39)</f>
        <v>0</v>
      </c>
      <c r="H27" s="854"/>
    </row>
    <row r="28" spans="1:8" ht="12">
      <c r="A28" s="7">
        <v>1745</v>
      </c>
      <c r="B28" s="7" t="s">
        <v>307</v>
      </c>
      <c r="C28" s="299">
        <f>SUM('3b.m.'!C40)</f>
        <v>0</v>
      </c>
      <c r="D28" s="299">
        <f>SUM('3b.m.'!D40)</f>
        <v>79</v>
      </c>
      <c r="E28" s="299">
        <f>SUM('3b.m.'!E40)</f>
        <v>79</v>
      </c>
      <c r="F28" s="299">
        <f>SUM('3b.m.'!F40)</f>
        <v>79</v>
      </c>
      <c r="G28" s="299">
        <f>SUM('3b.m.'!G40)</f>
        <v>79</v>
      </c>
      <c r="H28" s="854">
        <f t="shared" si="0"/>
        <v>1</v>
      </c>
    </row>
    <row r="29" spans="1:8" ht="12">
      <c r="A29" s="7">
        <v>1746</v>
      </c>
      <c r="B29" s="7" t="s">
        <v>261</v>
      </c>
      <c r="C29" s="299">
        <f>SUM('3b.m.'!C44)</f>
        <v>13000</v>
      </c>
      <c r="D29" s="299">
        <f>SUM('3b.m.'!D44)</f>
        <v>27500</v>
      </c>
      <c r="E29" s="299">
        <f>SUM('3b.m.'!E44)</f>
        <v>20020</v>
      </c>
      <c r="F29" s="299">
        <f>SUM('3b.m.'!F44)</f>
        <v>20020</v>
      </c>
      <c r="G29" s="299">
        <f>SUM('3b.m.'!G44)</f>
        <v>20020</v>
      </c>
      <c r="H29" s="854">
        <f t="shared" si="0"/>
        <v>1</v>
      </c>
    </row>
    <row r="30" spans="1:8" ht="12">
      <c r="A30" s="7">
        <v>1747</v>
      </c>
      <c r="B30" s="7" t="s">
        <v>262</v>
      </c>
      <c r="C30" s="299">
        <f>SUM('3b.m.'!C45)</f>
        <v>0</v>
      </c>
      <c r="D30" s="299">
        <f>SUM('3b.m.'!D45)</f>
        <v>0</v>
      </c>
      <c r="E30" s="299">
        <f>SUM('3b.m.'!E45)</f>
        <v>0</v>
      </c>
      <c r="F30" s="299">
        <f>SUM('3b.m.'!F45)</f>
        <v>0</v>
      </c>
      <c r="G30" s="299">
        <f>SUM('3b.m.'!G45)</f>
        <v>0</v>
      </c>
      <c r="H30" s="189"/>
    </row>
    <row r="31" spans="1:8" ht="12">
      <c r="A31" s="7">
        <v>1748</v>
      </c>
      <c r="B31" s="5" t="s">
        <v>342</v>
      </c>
      <c r="C31" s="299"/>
      <c r="D31" s="299"/>
      <c r="E31" s="299"/>
      <c r="F31" s="299"/>
      <c r="G31" s="299"/>
      <c r="H31" s="189"/>
    </row>
    <row r="32" spans="1:8" ht="7.5" customHeight="1">
      <c r="A32" s="7"/>
      <c r="B32" s="7"/>
      <c r="C32" s="299"/>
      <c r="D32" s="299"/>
      <c r="E32" s="299"/>
      <c r="F32" s="299"/>
      <c r="G32" s="299"/>
      <c r="H32" s="189"/>
    </row>
    <row r="33" spans="1:8" ht="12.75">
      <c r="A33" s="7"/>
      <c r="B33" s="101" t="s">
        <v>330</v>
      </c>
      <c r="C33" s="299"/>
      <c r="D33" s="299"/>
      <c r="E33" s="299"/>
      <c r="F33" s="299"/>
      <c r="G33" s="299"/>
      <c r="H33" s="189"/>
    </row>
    <row r="34" spans="1:8" ht="7.5" customHeight="1">
      <c r="A34" s="2"/>
      <c r="B34" s="88"/>
      <c r="C34" s="299"/>
      <c r="D34" s="299"/>
      <c r="E34" s="299"/>
      <c r="F34" s="299"/>
      <c r="G34" s="299"/>
      <c r="H34" s="189"/>
    </row>
    <row r="35" spans="1:8" ht="12">
      <c r="A35" s="8">
        <v>1750</v>
      </c>
      <c r="B35" s="8" t="s">
        <v>50</v>
      </c>
      <c r="C35" s="304">
        <f>SUM(C36:C44)</f>
        <v>5240332</v>
      </c>
      <c r="D35" s="304">
        <f>SUM(D36:D44)</f>
        <v>5578138</v>
      </c>
      <c r="E35" s="304">
        <f>SUM(E36:E44)</f>
        <v>5663353</v>
      </c>
      <c r="F35" s="304">
        <f>SUM(F36:F44)</f>
        <v>5710879</v>
      </c>
      <c r="G35" s="304">
        <f>SUM(G36:G44)</f>
        <v>5712495</v>
      </c>
      <c r="H35" s="189">
        <f t="shared" si="0"/>
        <v>1.0002829686988641</v>
      </c>
    </row>
    <row r="36" spans="1:8" ht="12">
      <c r="A36" s="7">
        <v>1751</v>
      </c>
      <c r="B36" s="7" t="s">
        <v>290</v>
      </c>
      <c r="C36" s="299">
        <f>SUM('3c.m.'!C801)</f>
        <v>191841</v>
      </c>
      <c r="D36" s="299">
        <f>SUM('3c.m.'!D801)</f>
        <v>202468</v>
      </c>
      <c r="E36" s="299">
        <f>SUM('3c.m.'!E801)</f>
        <v>202468</v>
      </c>
      <c r="F36" s="299">
        <f>SUM('3c.m.'!F801)</f>
        <v>199990</v>
      </c>
      <c r="G36" s="299">
        <f>SUM('3c.m.'!G801)</f>
        <v>191528</v>
      </c>
      <c r="H36" s="854">
        <f t="shared" si="0"/>
        <v>0.9576878843942197</v>
      </c>
    </row>
    <row r="37" spans="1:8" ht="12">
      <c r="A37" s="7">
        <v>1752</v>
      </c>
      <c r="B37" s="7" t="s">
        <v>113</v>
      </c>
      <c r="C37" s="299">
        <f>SUM('3c.m.'!C802)</f>
        <v>53003</v>
      </c>
      <c r="D37" s="299">
        <f>SUM('3c.m.'!D802)</f>
        <v>60361</v>
      </c>
      <c r="E37" s="299">
        <f>SUM('3c.m.'!E802)</f>
        <v>60361</v>
      </c>
      <c r="F37" s="299">
        <f>SUM('3c.m.'!F802)</f>
        <v>59157</v>
      </c>
      <c r="G37" s="299">
        <f>SUM('3c.m.'!G802)</f>
        <v>57097</v>
      </c>
      <c r="H37" s="854">
        <f t="shared" si="0"/>
        <v>0.9651774092668661</v>
      </c>
    </row>
    <row r="38" spans="1:8" ht="12">
      <c r="A38" s="7">
        <v>1753</v>
      </c>
      <c r="B38" s="7" t="s">
        <v>114</v>
      </c>
      <c r="C38" s="299">
        <f>SUM('3c.m.'!C803)</f>
        <v>3435419</v>
      </c>
      <c r="D38" s="299">
        <f>SUM('3c.m.'!D803)</f>
        <v>3707688</v>
      </c>
      <c r="E38" s="299">
        <f>SUM('3c.m.'!E803)</f>
        <v>3758838</v>
      </c>
      <c r="F38" s="299">
        <f>SUM('3c.m.'!F803)</f>
        <v>3779551</v>
      </c>
      <c r="G38" s="299">
        <f>SUM('3c.m.'!G803)</f>
        <v>3767282</v>
      </c>
      <c r="H38" s="854">
        <f t="shared" si="0"/>
        <v>0.9967538472162434</v>
      </c>
    </row>
    <row r="39" spans="1:8" ht="12">
      <c r="A39" s="7">
        <v>1754</v>
      </c>
      <c r="B39" s="7" t="s">
        <v>124</v>
      </c>
      <c r="C39" s="299">
        <f>SUM('3c.m.'!C804)</f>
        <v>212460</v>
      </c>
      <c r="D39" s="299">
        <f>SUM('3c.m.'!D804)</f>
        <v>213416</v>
      </c>
      <c r="E39" s="299">
        <f>SUM('3c.m.'!E804)</f>
        <v>220418</v>
      </c>
      <c r="F39" s="299">
        <f>SUM('3c.m.'!F804)</f>
        <v>228430</v>
      </c>
      <c r="G39" s="299">
        <f>SUM('3c.m.'!G804)</f>
        <v>231207</v>
      </c>
      <c r="H39" s="854">
        <f t="shared" si="0"/>
        <v>1.0121568970800683</v>
      </c>
    </row>
    <row r="40" spans="1:8" ht="12">
      <c r="A40" s="7">
        <v>1755</v>
      </c>
      <c r="B40" s="7" t="s">
        <v>307</v>
      </c>
      <c r="C40" s="299">
        <f>SUM('3c.m.'!C805)</f>
        <v>101774</v>
      </c>
      <c r="D40" s="299">
        <f>SUM('3c.m.'!D805)</f>
        <v>117057</v>
      </c>
      <c r="E40" s="299">
        <f>SUM('3c.m.'!E805)</f>
        <v>114920</v>
      </c>
      <c r="F40" s="299">
        <f>SUM('3c.m.'!F805)</f>
        <v>115104</v>
      </c>
      <c r="G40" s="299">
        <f>SUM('3c.m.'!G805)</f>
        <v>125377</v>
      </c>
      <c r="H40" s="854">
        <f t="shared" si="0"/>
        <v>1.0892497219905477</v>
      </c>
    </row>
    <row r="41" spans="1:8" ht="12">
      <c r="A41" s="7">
        <v>1756</v>
      </c>
      <c r="B41" s="7" t="s">
        <v>261</v>
      </c>
      <c r="C41" s="299">
        <f>SUM('3c.m.'!C808)</f>
        <v>30009</v>
      </c>
      <c r="D41" s="299">
        <f>SUM('3c.m.'!D808)</f>
        <v>44542</v>
      </c>
      <c r="E41" s="299">
        <f>SUM('3c.m.'!E808)</f>
        <v>74542</v>
      </c>
      <c r="F41" s="299">
        <f>SUM('3c.m.'!F808)</f>
        <v>96347</v>
      </c>
      <c r="G41" s="299">
        <f>SUM('3c.m.'!G808)</f>
        <v>105623</v>
      </c>
      <c r="H41" s="854">
        <f t="shared" si="0"/>
        <v>1.096276998764881</v>
      </c>
    </row>
    <row r="42" spans="1:8" ht="12">
      <c r="A42" s="5">
        <v>1757</v>
      </c>
      <c r="B42" s="5" t="s">
        <v>262</v>
      </c>
      <c r="C42" s="686">
        <f>SUM('3c.m.'!C809)</f>
        <v>0</v>
      </c>
      <c r="D42" s="686">
        <f>SUM('3c.m.'!D809)</f>
        <v>447</v>
      </c>
      <c r="E42" s="686">
        <f>SUM('3c.m.'!E809)</f>
        <v>447</v>
      </c>
      <c r="F42" s="686">
        <f>SUM('3c.m.'!F809)</f>
        <v>447</v>
      </c>
      <c r="G42" s="686">
        <f>SUM('3c.m.'!G809)</f>
        <v>447</v>
      </c>
      <c r="H42" s="854">
        <f t="shared" si="0"/>
        <v>1</v>
      </c>
    </row>
    <row r="43" spans="1:8" ht="12">
      <c r="A43" s="7">
        <v>1758</v>
      </c>
      <c r="B43" s="7" t="s">
        <v>478</v>
      </c>
      <c r="C43" s="686">
        <f>SUM('3c.m.'!C810)</f>
        <v>1215826</v>
      </c>
      <c r="D43" s="686">
        <f>SUM('3c.m.'!D810)</f>
        <v>1232159</v>
      </c>
      <c r="E43" s="686">
        <f>SUM('3c.m.'!E810)</f>
        <v>1231359</v>
      </c>
      <c r="F43" s="686">
        <f>SUM('3c.m.'!F810)</f>
        <v>1231853</v>
      </c>
      <c r="G43" s="686">
        <f>SUM('3c.m.'!G810)</f>
        <v>1233934</v>
      </c>
      <c r="H43" s="854">
        <f t="shared" si="0"/>
        <v>1.0016893249438041</v>
      </c>
    </row>
    <row r="44" spans="1:8" ht="12">
      <c r="A44" s="7"/>
      <c r="B44" s="7"/>
      <c r="C44" s="686"/>
      <c r="D44" s="686"/>
      <c r="E44" s="686"/>
      <c r="F44" s="686"/>
      <c r="G44" s="686"/>
      <c r="H44" s="189"/>
    </row>
    <row r="45" spans="1:8" ht="12">
      <c r="A45" s="4">
        <v>1760</v>
      </c>
      <c r="B45" s="4" t="s">
        <v>340</v>
      </c>
      <c r="C45" s="302">
        <f>SUM(C46:C52)</f>
        <v>1597714</v>
      </c>
      <c r="D45" s="302">
        <f>SUM(D46:D52)</f>
        <v>1816264</v>
      </c>
      <c r="E45" s="302">
        <f>SUM(E46:E52)</f>
        <v>1823014</v>
      </c>
      <c r="F45" s="302">
        <f>SUM(F46:F52)</f>
        <v>1823014</v>
      </c>
      <c r="G45" s="302">
        <f>SUM(G46:G52)</f>
        <v>1823014</v>
      </c>
      <c r="H45" s="189">
        <f t="shared" si="0"/>
        <v>1</v>
      </c>
    </row>
    <row r="46" spans="1:8" ht="12">
      <c r="A46" s="7">
        <v>1761</v>
      </c>
      <c r="B46" s="7" t="s">
        <v>290</v>
      </c>
      <c r="C46" s="182">
        <f>SUM('3d.m.'!C59)</f>
        <v>1300</v>
      </c>
      <c r="D46" s="182">
        <f>SUM('3d.m.'!D59)</f>
        <v>1300</v>
      </c>
      <c r="E46" s="182">
        <f>SUM('3d.m.'!E59)</f>
        <v>1300</v>
      </c>
      <c r="F46" s="182">
        <f>SUM('3d.m.'!F59)</f>
        <v>1300</v>
      </c>
      <c r="G46" s="182">
        <f>SUM('3d.m.'!G59)</f>
        <v>1300</v>
      </c>
      <c r="H46" s="854">
        <f t="shared" si="0"/>
        <v>1</v>
      </c>
    </row>
    <row r="47" spans="1:8" ht="12">
      <c r="A47" s="5">
        <v>1762</v>
      </c>
      <c r="B47" s="5" t="s">
        <v>113</v>
      </c>
      <c r="C47" s="182">
        <f>SUM('3d.m.'!C60)</f>
        <v>700</v>
      </c>
      <c r="D47" s="182">
        <f>SUM('3d.m.'!D60)</f>
        <v>700</v>
      </c>
      <c r="E47" s="182">
        <f>SUM('3d.m.'!E60)</f>
        <v>700</v>
      </c>
      <c r="F47" s="182">
        <f>SUM('3d.m.'!F60)</f>
        <v>700</v>
      </c>
      <c r="G47" s="182">
        <f>SUM('3d.m.'!G60)</f>
        <v>700</v>
      </c>
      <c r="H47" s="854">
        <f t="shared" si="0"/>
        <v>1</v>
      </c>
    </row>
    <row r="48" spans="1:8" ht="12">
      <c r="A48" s="7">
        <v>1763</v>
      </c>
      <c r="B48" s="7" t="s">
        <v>114</v>
      </c>
      <c r="C48" s="182">
        <f>SUM('3d.m.'!C61)</f>
        <v>2000</v>
      </c>
      <c r="D48" s="182">
        <f>SUM('3d.m.'!D61)</f>
        <v>2041</v>
      </c>
      <c r="E48" s="182">
        <f>SUM('3d.m.'!E61)</f>
        <v>2041</v>
      </c>
      <c r="F48" s="182">
        <f>SUM('3d.m.'!F61)</f>
        <v>2041</v>
      </c>
      <c r="G48" s="182">
        <f>SUM('3d.m.'!G61)</f>
        <v>2041</v>
      </c>
      <c r="H48" s="854">
        <f t="shared" si="0"/>
        <v>1</v>
      </c>
    </row>
    <row r="49" spans="1:8" ht="12">
      <c r="A49" s="7">
        <v>1764</v>
      </c>
      <c r="B49" s="7" t="s">
        <v>307</v>
      </c>
      <c r="C49" s="182">
        <f>SUM('3d.m.'!C62)</f>
        <v>1161654</v>
      </c>
      <c r="D49" s="182">
        <f>SUM('3d.m.'!D62)</f>
        <v>1169254</v>
      </c>
      <c r="E49" s="182">
        <f>SUM('3d.m.'!E62)</f>
        <v>1172004</v>
      </c>
      <c r="F49" s="182">
        <f>SUM('3d.m.'!F62)</f>
        <v>1172004</v>
      </c>
      <c r="G49" s="182">
        <f>SUM('3d.m.'!G62)</f>
        <v>1172004</v>
      </c>
      <c r="H49" s="854">
        <f t="shared" si="0"/>
        <v>1</v>
      </c>
    </row>
    <row r="50" spans="1:8" ht="12">
      <c r="A50" s="7">
        <v>1765</v>
      </c>
      <c r="B50" s="7" t="s">
        <v>417</v>
      </c>
      <c r="C50" s="182">
        <f>SUM('3d.m.'!C63)</f>
        <v>10000</v>
      </c>
      <c r="D50" s="182">
        <f>SUM('3d.m.'!D63)</f>
        <v>10000</v>
      </c>
      <c r="E50" s="182">
        <f>SUM('3d.m.'!E63)</f>
        <v>14000</v>
      </c>
      <c r="F50" s="182">
        <f>SUM('3d.m.'!F63)</f>
        <v>14000</v>
      </c>
      <c r="G50" s="182">
        <f>SUM('3d.m.'!G63)</f>
        <v>14000</v>
      </c>
      <c r="H50" s="854">
        <f t="shared" si="0"/>
        <v>1</v>
      </c>
    </row>
    <row r="51" spans="1:8" ht="12">
      <c r="A51" s="7">
        <v>1766</v>
      </c>
      <c r="B51" s="7" t="s">
        <v>342</v>
      </c>
      <c r="C51" s="182">
        <f>SUM('3d.m.'!C64)</f>
        <v>422060</v>
      </c>
      <c r="D51" s="182">
        <f>SUM('3d.m.'!D64)</f>
        <v>632969</v>
      </c>
      <c r="E51" s="182">
        <f>SUM('3d.m.'!E64)</f>
        <v>632969</v>
      </c>
      <c r="F51" s="182">
        <f>SUM('3d.m.'!F64)</f>
        <v>632969</v>
      </c>
      <c r="G51" s="182">
        <f>SUM('3d.m.'!G64)</f>
        <v>632969</v>
      </c>
      <c r="H51" s="854">
        <f t="shared" si="0"/>
        <v>1</v>
      </c>
    </row>
    <row r="52" spans="1:8" ht="12">
      <c r="A52" s="7"/>
      <c r="B52" s="7"/>
      <c r="C52" s="182"/>
      <c r="D52" s="182"/>
      <c r="E52" s="182"/>
      <c r="F52" s="182"/>
      <c r="G52" s="182"/>
      <c r="H52" s="189"/>
    </row>
    <row r="53" spans="1:8" ht="12">
      <c r="A53" s="4">
        <v>1770</v>
      </c>
      <c r="B53" s="22" t="s">
        <v>331</v>
      </c>
      <c r="C53" s="302">
        <f>SUM(C54:C60)</f>
        <v>2902162</v>
      </c>
      <c r="D53" s="302">
        <f>SUM(D54:D60)</f>
        <v>3913391</v>
      </c>
      <c r="E53" s="302">
        <f>SUM(E54:E60)</f>
        <v>3948391</v>
      </c>
      <c r="F53" s="302">
        <f>SUM(F54:F60)</f>
        <v>3942391</v>
      </c>
      <c r="G53" s="302">
        <f>SUM(G54:G60)</f>
        <v>3692391</v>
      </c>
      <c r="H53" s="189">
        <f t="shared" si="0"/>
        <v>0.9365867058848298</v>
      </c>
    </row>
    <row r="54" spans="1:8" ht="12">
      <c r="A54" s="69">
        <v>1771</v>
      </c>
      <c r="B54" s="7" t="s">
        <v>290</v>
      </c>
      <c r="C54" s="182">
        <f>SUM('4.mell.'!C79)</f>
        <v>0</v>
      </c>
      <c r="D54" s="182">
        <f>SUM('4.mell.'!D79)</f>
        <v>0</v>
      </c>
      <c r="E54" s="182">
        <f>SUM('4.mell.'!E79)</f>
        <v>0</v>
      </c>
      <c r="F54" s="182">
        <f>SUM('4.mell.'!F79)</f>
        <v>0</v>
      </c>
      <c r="G54" s="182">
        <f>SUM('4.mell.'!G79)</f>
        <v>0</v>
      </c>
      <c r="H54" s="189"/>
    </row>
    <row r="55" spans="1:8" ht="12">
      <c r="A55" s="69">
        <v>1772</v>
      </c>
      <c r="B55" s="7" t="s">
        <v>113</v>
      </c>
      <c r="C55" s="182">
        <f>SUM('4.mell.'!C80)</f>
        <v>0</v>
      </c>
      <c r="D55" s="182">
        <f>SUM('4.mell.'!D80)</f>
        <v>0</v>
      </c>
      <c r="E55" s="182">
        <f>SUM('4.mell.'!E80)</f>
        <v>0</v>
      </c>
      <c r="F55" s="182">
        <f>SUM('4.mell.'!F80)</f>
        <v>0</v>
      </c>
      <c r="G55" s="182">
        <f>SUM('4.mell.'!G80)</f>
        <v>0</v>
      </c>
      <c r="H55" s="189"/>
    </row>
    <row r="56" spans="1:8" ht="12">
      <c r="A56" s="7">
        <v>1773</v>
      </c>
      <c r="B56" s="7" t="s">
        <v>114</v>
      </c>
      <c r="C56" s="182">
        <f>SUM('4.mell.'!C81)</f>
        <v>0</v>
      </c>
      <c r="D56" s="182">
        <f>SUM('4.mell.'!D81)</f>
        <v>7028</v>
      </c>
      <c r="E56" s="182">
        <f>SUM('4.mell.'!E81)</f>
        <v>7028</v>
      </c>
      <c r="F56" s="182">
        <f>SUM('4.mell.'!F81)</f>
        <v>9419</v>
      </c>
      <c r="G56" s="182">
        <f>SUM('4.mell.'!G81)</f>
        <v>37462</v>
      </c>
      <c r="H56" s="854">
        <f t="shared" si="0"/>
        <v>3.9772799660261176</v>
      </c>
    </row>
    <row r="57" spans="1:8" ht="12">
      <c r="A57" s="7">
        <v>1774</v>
      </c>
      <c r="B57" s="7" t="s">
        <v>283</v>
      </c>
      <c r="C57" s="182">
        <f>SUM('4.mell.'!C82)</f>
        <v>0</v>
      </c>
      <c r="D57" s="182">
        <f>SUM('4.mell.'!D82)</f>
        <v>0</v>
      </c>
      <c r="E57" s="182">
        <f>SUM('4.mell.'!E82)</f>
        <v>0</v>
      </c>
      <c r="F57" s="182">
        <f>SUM('4.mell.'!F82)</f>
        <v>0</v>
      </c>
      <c r="G57" s="182">
        <f>SUM('4.mell.'!G82)</f>
        <v>0</v>
      </c>
      <c r="H57" s="854"/>
    </row>
    <row r="58" spans="1:8" ht="12">
      <c r="A58" s="7">
        <v>1775</v>
      </c>
      <c r="B58" s="7" t="s">
        <v>261</v>
      </c>
      <c r="C58" s="182">
        <f>SUM('4.mell.'!C85)</f>
        <v>0</v>
      </c>
      <c r="D58" s="182">
        <f>SUM('4.mell.'!D85)</f>
        <v>39944</v>
      </c>
      <c r="E58" s="182">
        <f>SUM('4.mell.'!E85)</f>
        <v>39944</v>
      </c>
      <c r="F58" s="182">
        <f>SUM('4.mell.'!F85)</f>
        <v>76069</v>
      </c>
      <c r="G58" s="182">
        <f>SUM('4.mell.'!G85)</f>
        <v>88712</v>
      </c>
      <c r="H58" s="854">
        <f t="shared" si="0"/>
        <v>1.1662043670877755</v>
      </c>
    </row>
    <row r="59" spans="1:8" ht="12">
      <c r="A59" s="7">
        <v>1776</v>
      </c>
      <c r="B59" s="7" t="s">
        <v>262</v>
      </c>
      <c r="C59" s="305">
        <f>SUM('4.mell.'!C86)</f>
        <v>2862162</v>
      </c>
      <c r="D59" s="305">
        <f>SUM('4.mell.'!D86)</f>
        <v>3815545</v>
      </c>
      <c r="E59" s="305">
        <f>SUM('4.mell.'!E86)</f>
        <v>3850545</v>
      </c>
      <c r="F59" s="305">
        <f>SUM('4.mell.'!F86)</f>
        <v>3806029</v>
      </c>
      <c r="G59" s="305">
        <f>SUM('4.mell.'!G86)</f>
        <v>3515343</v>
      </c>
      <c r="H59" s="854">
        <f t="shared" si="0"/>
        <v>0.9236248594007035</v>
      </c>
    </row>
    <row r="60" spans="1:8" ht="12">
      <c r="A60" s="7">
        <v>1777</v>
      </c>
      <c r="B60" s="7" t="s">
        <v>342</v>
      </c>
      <c r="C60" s="305">
        <f>SUM('4.mell.'!C87)</f>
        <v>40000</v>
      </c>
      <c r="D60" s="305">
        <f>SUM('4.mell.'!D87)</f>
        <v>50874</v>
      </c>
      <c r="E60" s="305">
        <f>SUM('4.mell.'!E87)</f>
        <v>50874</v>
      </c>
      <c r="F60" s="305">
        <f>SUM('4.mell.'!F87)</f>
        <v>50874</v>
      </c>
      <c r="G60" s="305">
        <f>SUM('4.mell.'!G87)</f>
        <v>50874</v>
      </c>
      <c r="H60" s="854">
        <f t="shared" si="0"/>
        <v>1</v>
      </c>
    </row>
    <row r="61" spans="1:8" ht="12">
      <c r="A61" s="7"/>
      <c r="B61" s="7"/>
      <c r="C61" s="299"/>
      <c r="D61" s="299"/>
      <c r="E61" s="299"/>
      <c r="F61" s="299"/>
      <c r="G61" s="299"/>
      <c r="H61" s="189"/>
    </row>
    <row r="62" spans="1:8" ht="12">
      <c r="A62" s="4">
        <v>1780</v>
      </c>
      <c r="B62" s="4" t="s">
        <v>332</v>
      </c>
      <c r="C62" s="302">
        <f>SUM(C63:C69)</f>
        <v>1134540</v>
      </c>
      <c r="D62" s="302">
        <f>SUM(D63:D69)</f>
        <v>1527636</v>
      </c>
      <c r="E62" s="302">
        <f>SUM(E63:E69)</f>
        <v>1475316</v>
      </c>
      <c r="F62" s="302">
        <f>SUM(F63:F69)</f>
        <v>1481316</v>
      </c>
      <c r="G62" s="302">
        <f>SUM(G63:G69)</f>
        <v>1481316</v>
      </c>
      <c r="H62" s="189">
        <f t="shared" si="0"/>
        <v>1</v>
      </c>
    </row>
    <row r="63" spans="1:8" ht="12">
      <c r="A63" s="69">
        <v>1781</v>
      </c>
      <c r="B63" s="7" t="s">
        <v>290</v>
      </c>
      <c r="C63" s="305">
        <f>SUM('5.mell. '!C51)</f>
        <v>0</v>
      </c>
      <c r="D63" s="305">
        <f>SUM('5.mell. '!D51)</f>
        <v>4720</v>
      </c>
      <c r="E63" s="305">
        <f>SUM('5.mell. '!E51)</f>
        <v>4720</v>
      </c>
      <c r="F63" s="305">
        <f>SUM('5.mell. '!F51)</f>
        <v>4720</v>
      </c>
      <c r="G63" s="305">
        <f>SUM('5.mell. '!G51)</f>
        <v>4720</v>
      </c>
      <c r="H63" s="854">
        <f t="shared" si="0"/>
        <v>1</v>
      </c>
    </row>
    <row r="64" spans="1:8" ht="12">
      <c r="A64" s="69">
        <v>1782</v>
      </c>
      <c r="B64" s="7" t="s">
        <v>113</v>
      </c>
      <c r="C64" s="305">
        <f>SUM('5.mell. '!C52)</f>
        <v>0</v>
      </c>
      <c r="D64" s="305">
        <f>SUM('5.mell. '!D52)</f>
        <v>920</v>
      </c>
      <c r="E64" s="305">
        <f>SUM('5.mell. '!E52)</f>
        <v>920</v>
      </c>
      <c r="F64" s="305">
        <f>SUM('5.mell. '!F52)</f>
        <v>920</v>
      </c>
      <c r="G64" s="305">
        <f>SUM('5.mell. '!G52)</f>
        <v>920</v>
      </c>
      <c r="H64" s="854">
        <f t="shared" si="0"/>
        <v>1</v>
      </c>
    </row>
    <row r="65" spans="1:8" ht="12">
      <c r="A65" s="7">
        <v>1783</v>
      </c>
      <c r="B65" s="7" t="s">
        <v>114</v>
      </c>
      <c r="C65" s="712">
        <f>SUM('5.mell. '!C53)</f>
        <v>0</v>
      </c>
      <c r="D65" s="712">
        <f>SUM('5.mell. '!D53)</f>
        <v>976</v>
      </c>
      <c r="E65" s="712">
        <f>SUM('5.mell. '!E53)</f>
        <v>976</v>
      </c>
      <c r="F65" s="712">
        <f>SUM('5.mell. '!F53)</f>
        <v>5586</v>
      </c>
      <c r="G65" s="712">
        <f>SUM('5.mell. '!G53)</f>
        <v>10290</v>
      </c>
      <c r="H65" s="854">
        <f t="shared" si="0"/>
        <v>1.8421052631578947</v>
      </c>
    </row>
    <row r="66" spans="1:8" ht="12">
      <c r="A66" s="7">
        <v>1784</v>
      </c>
      <c r="B66" s="7" t="s">
        <v>283</v>
      </c>
      <c r="C66" s="712">
        <f>SUM('5.mell. '!C54)</f>
        <v>0</v>
      </c>
      <c r="D66" s="712">
        <f>SUM('5.mell. '!D54)</f>
        <v>0</v>
      </c>
      <c r="E66" s="712">
        <f>SUM('5.mell. '!E54)</f>
        <v>0</v>
      </c>
      <c r="F66" s="712">
        <f>SUM('5.mell. '!F54)</f>
        <v>0</v>
      </c>
      <c r="G66" s="712">
        <f>SUM('5.mell. '!G54)</f>
        <v>0</v>
      </c>
      <c r="H66" s="854"/>
    </row>
    <row r="67" spans="1:8" ht="12">
      <c r="A67" s="7">
        <v>1785</v>
      </c>
      <c r="B67" s="7" t="s">
        <v>261</v>
      </c>
      <c r="C67" s="712">
        <f>SUM('5.mell. '!C58)</f>
        <v>1134540</v>
      </c>
      <c r="D67" s="712">
        <f>SUM('5.mell. '!D58)</f>
        <v>1521020</v>
      </c>
      <c r="E67" s="712">
        <f>SUM('5.mell. '!E58)</f>
        <v>1468700</v>
      </c>
      <c r="F67" s="712">
        <f>SUM('5.mell. '!F58)</f>
        <v>1470090</v>
      </c>
      <c r="G67" s="712">
        <f>SUM('5.mell. '!G58)</f>
        <v>1465386</v>
      </c>
      <c r="H67" s="854">
        <f t="shared" si="0"/>
        <v>0.996800195906373</v>
      </c>
    </row>
    <row r="68" spans="1:8" ht="12">
      <c r="A68" s="7">
        <v>1786</v>
      </c>
      <c r="B68" s="7" t="s">
        <v>262</v>
      </c>
      <c r="C68" s="712">
        <f>SUM('5.mell. '!C57)</f>
        <v>0</v>
      </c>
      <c r="D68" s="712">
        <f>SUM('5.mell. '!D57)</f>
        <v>0</v>
      </c>
      <c r="E68" s="712">
        <f>SUM('5.mell. '!E57)</f>
        <v>0</v>
      </c>
      <c r="F68" s="712">
        <f>SUM('5.mell. '!F57)</f>
        <v>0</v>
      </c>
      <c r="G68" s="712">
        <f>SUM('5.mell. '!G57)</f>
        <v>0</v>
      </c>
      <c r="H68" s="189"/>
    </row>
    <row r="69" spans="1:8" ht="12">
      <c r="A69" s="5">
        <v>1787</v>
      </c>
      <c r="B69" s="7" t="s">
        <v>342</v>
      </c>
      <c r="C69" s="182">
        <f>SUM('5.mell. '!C59)</f>
        <v>0</v>
      </c>
      <c r="D69" s="182">
        <f>SUM('5.mell. '!D59)</f>
        <v>0</v>
      </c>
      <c r="E69" s="182">
        <f>SUM('5.mell. '!E59)</f>
        <v>0</v>
      </c>
      <c r="F69" s="182">
        <f>SUM('5.mell. '!F59)</f>
        <v>0</v>
      </c>
      <c r="G69" s="182">
        <f>SUM('5.mell. '!G59)</f>
        <v>0</v>
      </c>
      <c r="H69" s="189"/>
    </row>
    <row r="70" spans="1:8" ht="12">
      <c r="A70" s="5"/>
      <c r="B70" s="7"/>
      <c r="C70" s="299"/>
      <c r="D70" s="299"/>
      <c r="E70" s="299"/>
      <c r="F70" s="299"/>
      <c r="G70" s="1228"/>
      <c r="H70" s="189"/>
    </row>
    <row r="71" spans="1:8" ht="12">
      <c r="A71" s="70">
        <v>1790</v>
      </c>
      <c r="B71" s="127" t="s">
        <v>497</v>
      </c>
      <c r="C71" s="303">
        <f>SUM(C72:C72)</f>
        <v>18122</v>
      </c>
      <c r="D71" s="303">
        <f>SUM(D72:D72)</f>
        <v>18122</v>
      </c>
      <c r="E71" s="303">
        <f>SUM(E72:E72)</f>
        <v>18122</v>
      </c>
      <c r="F71" s="303">
        <f>SUM(F72:F72)</f>
        <v>18123</v>
      </c>
      <c r="G71" s="1229">
        <f>SUM(G72:G72)</f>
        <v>18123</v>
      </c>
      <c r="H71" s="189">
        <f t="shared" si="0"/>
        <v>1</v>
      </c>
    </row>
    <row r="72" spans="1:8" ht="12">
      <c r="A72" s="5">
        <v>1795</v>
      </c>
      <c r="B72" s="5" t="s">
        <v>402</v>
      </c>
      <c r="C72" s="305">
        <v>18122</v>
      </c>
      <c r="D72" s="305">
        <v>18122</v>
      </c>
      <c r="E72" s="305">
        <v>18122</v>
      </c>
      <c r="F72" s="305">
        <v>18123</v>
      </c>
      <c r="G72" s="1230">
        <v>18123</v>
      </c>
      <c r="H72" s="854">
        <f t="shared" si="0"/>
        <v>1</v>
      </c>
    </row>
    <row r="73" spans="1:8" s="20" customFormat="1" ht="12">
      <c r="A73" s="5"/>
      <c r="B73" s="66"/>
      <c r="C73" s="299"/>
      <c r="D73" s="299"/>
      <c r="E73" s="299"/>
      <c r="F73" s="299"/>
      <c r="G73" s="1228"/>
      <c r="H73" s="189"/>
    </row>
    <row r="74" spans="1:8" s="23" customFormat="1" ht="13.5" customHeight="1">
      <c r="A74" s="4">
        <v>1801</v>
      </c>
      <c r="B74" s="8" t="s">
        <v>431</v>
      </c>
      <c r="C74" s="302">
        <v>30000</v>
      </c>
      <c r="D74" s="302">
        <v>30004</v>
      </c>
      <c r="E74" s="302">
        <v>30004</v>
      </c>
      <c r="F74" s="302">
        <v>30004</v>
      </c>
      <c r="G74" s="1231">
        <v>30004</v>
      </c>
      <c r="H74" s="189">
        <f t="shared" si="0"/>
        <v>1</v>
      </c>
    </row>
    <row r="75" spans="1:8" s="23" customFormat="1" ht="11.25" customHeight="1">
      <c r="A75" s="4"/>
      <c r="B75" s="8"/>
      <c r="C75" s="302"/>
      <c r="D75" s="302"/>
      <c r="E75" s="302"/>
      <c r="F75" s="302"/>
      <c r="G75" s="1231"/>
      <c r="H75" s="189"/>
    </row>
    <row r="76" spans="1:8" s="23" customFormat="1" ht="13.5" customHeight="1">
      <c r="A76" s="4">
        <v>1802</v>
      </c>
      <c r="B76" s="8" t="s">
        <v>433</v>
      </c>
      <c r="C76" s="302"/>
      <c r="D76" s="302"/>
      <c r="E76" s="302">
        <v>6526</v>
      </c>
      <c r="F76" s="302">
        <v>6526</v>
      </c>
      <c r="G76" s="1231">
        <v>6526</v>
      </c>
      <c r="H76" s="189">
        <f aca="true" t="shared" si="1" ref="H76:H139">SUM(G76/F76)</f>
        <v>1</v>
      </c>
    </row>
    <row r="77" spans="1:8" s="23" customFormat="1" ht="13.5" customHeight="1">
      <c r="A77" s="4"/>
      <c r="B77" s="8"/>
      <c r="C77" s="302"/>
      <c r="D77" s="302"/>
      <c r="E77" s="302"/>
      <c r="F77" s="302"/>
      <c r="G77" s="1231"/>
      <c r="H77" s="189"/>
    </row>
    <row r="78" spans="1:8" s="23" customFormat="1" ht="13.5" customHeight="1">
      <c r="A78" s="4">
        <v>1803</v>
      </c>
      <c r="B78" s="8" t="s">
        <v>476</v>
      </c>
      <c r="C78" s="302">
        <v>276138</v>
      </c>
      <c r="D78" s="302">
        <v>276138</v>
      </c>
      <c r="E78" s="302">
        <v>276138</v>
      </c>
      <c r="F78" s="302">
        <v>276138</v>
      </c>
      <c r="G78" s="1231">
        <v>276139</v>
      </c>
      <c r="H78" s="189">
        <f t="shared" si="1"/>
        <v>1.000003621377717</v>
      </c>
    </row>
    <row r="79" spans="1:8" s="23" customFormat="1" ht="10.5" customHeight="1">
      <c r="A79" s="4"/>
      <c r="B79" s="8"/>
      <c r="C79" s="302"/>
      <c r="D79" s="302"/>
      <c r="E79" s="302"/>
      <c r="F79" s="302"/>
      <c r="G79" s="1231"/>
      <c r="H79" s="189"/>
    </row>
    <row r="80" spans="1:8" s="23" customFormat="1" ht="12">
      <c r="A80" s="4">
        <v>1804</v>
      </c>
      <c r="B80" s="8" t="s">
        <v>1113</v>
      </c>
      <c r="C80" s="302">
        <v>247400</v>
      </c>
      <c r="D80" s="302">
        <v>247400</v>
      </c>
      <c r="E80" s="302">
        <v>247400</v>
      </c>
      <c r="F80" s="302">
        <v>247400</v>
      </c>
      <c r="G80" s="1231">
        <v>247400</v>
      </c>
      <c r="H80" s="189">
        <f t="shared" si="1"/>
        <v>1</v>
      </c>
    </row>
    <row r="81" spans="1:8" s="23" customFormat="1" ht="12">
      <c r="A81" s="4"/>
      <c r="B81" s="8"/>
      <c r="C81" s="306"/>
      <c r="D81" s="306"/>
      <c r="E81" s="306"/>
      <c r="F81" s="306"/>
      <c r="G81" s="1232"/>
      <c r="H81" s="189"/>
    </row>
    <row r="82" spans="1:8" s="23" customFormat="1" ht="12">
      <c r="A82" s="4">
        <v>1806</v>
      </c>
      <c r="B82" s="4" t="s">
        <v>395</v>
      </c>
      <c r="C82" s="307">
        <f>SUM(C83:C83)</f>
        <v>0</v>
      </c>
      <c r="D82" s="307">
        <f>SUM(D83:D83)</f>
        <v>11366</v>
      </c>
      <c r="E82" s="307">
        <f>SUM(E83:E83)</f>
        <v>11366</v>
      </c>
      <c r="F82" s="307">
        <f>SUM(F83:F83)</f>
        <v>16118</v>
      </c>
      <c r="G82" s="1233">
        <f>SUM(G83:G83)</f>
        <v>34940</v>
      </c>
      <c r="H82" s="189">
        <f t="shared" si="1"/>
        <v>2.167762749720809</v>
      </c>
    </row>
    <row r="83" spans="1:8" s="23" customFormat="1" ht="12">
      <c r="A83" s="19"/>
      <c r="B83" s="75" t="s">
        <v>396</v>
      </c>
      <c r="C83" s="753"/>
      <c r="D83" s="753">
        <v>11366</v>
      </c>
      <c r="E83" s="753">
        <v>11366</v>
      </c>
      <c r="F83" s="753">
        <v>16118</v>
      </c>
      <c r="G83" s="1234">
        <v>34940</v>
      </c>
      <c r="H83" s="1167">
        <f t="shared" si="1"/>
        <v>2.167762749720809</v>
      </c>
    </row>
    <row r="84" spans="1:8" s="23" customFormat="1" ht="12">
      <c r="A84" s="4"/>
      <c r="B84" s="4"/>
      <c r="C84" s="302"/>
      <c r="D84" s="302"/>
      <c r="E84" s="302"/>
      <c r="F84" s="302"/>
      <c r="G84" s="1231"/>
      <c r="H84" s="189"/>
    </row>
    <row r="85" spans="1:8" s="23" customFormat="1" ht="12">
      <c r="A85" s="70">
        <v>1812</v>
      </c>
      <c r="B85" s="97" t="s">
        <v>51</v>
      </c>
      <c r="C85" s="302">
        <f>SUM('6.mell. '!C12)</f>
        <v>114162</v>
      </c>
      <c r="D85" s="302">
        <f>SUM('6.mell. '!D12)</f>
        <v>161832</v>
      </c>
      <c r="E85" s="302">
        <f>SUM('6.mell. '!E12)</f>
        <v>218921</v>
      </c>
      <c r="F85" s="302">
        <f>SUM('6.mell. '!F12)</f>
        <v>166366</v>
      </c>
      <c r="G85" s="302">
        <f>SUM('6.mell. '!G12)</f>
        <v>83242</v>
      </c>
      <c r="H85" s="189">
        <f t="shared" si="1"/>
        <v>0.5003546397701454</v>
      </c>
    </row>
    <row r="86" spans="1:8" s="23" customFormat="1" ht="12">
      <c r="A86" s="70">
        <v>1813</v>
      </c>
      <c r="B86" s="92" t="s">
        <v>52</v>
      </c>
      <c r="C86" s="302">
        <f>SUM('6.mell. '!C14)</f>
        <v>18500</v>
      </c>
      <c r="D86" s="302">
        <f>SUM('6.mell. '!D14)</f>
        <v>1772009</v>
      </c>
      <c r="E86" s="302">
        <f>SUM('6.mell. '!E14)</f>
        <v>1772009</v>
      </c>
      <c r="F86" s="302">
        <f>SUM('6.mell. '!F14)</f>
        <v>453762</v>
      </c>
      <c r="G86" s="302">
        <f>SUM('6.mell. '!G14)</f>
        <v>453762</v>
      </c>
      <c r="H86" s="189">
        <f t="shared" si="1"/>
        <v>1</v>
      </c>
    </row>
    <row r="87" spans="1:8" s="23" customFormat="1" ht="12">
      <c r="A87" s="19">
        <v>1816</v>
      </c>
      <c r="B87" s="70" t="s">
        <v>84</v>
      </c>
      <c r="C87" s="307">
        <f>SUM(C85+C86)</f>
        <v>132662</v>
      </c>
      <c r="D87" s="307">
        <f>SUM(D85+D86)</f>
        <v>1933841</v>
      </c>
      <c r="E87" s="307">
        <f>SUM(E85+E86)</f>
        <v>1990930</v>
      </c>
      <c r="F87" s="307">
        <f>SUM(F85+F86)</f>
        <v>620128</v>
      </c>
      <c r="G87" s="307">
        <f>SUM(G85+G86)</f>
        <v>537004</v>
      </c>
      <c r="H87" s="189">
        <f t="shared" si="1"/>
        <v>0.865956705712369</v>
      </c>
    </row>
    <row r="88" spans="1:8" ht="12">
      <c r="A88" s="5"/>
      <c r="B88" s="5"/>
      <c r="C88" s="307"/>
      <c r="D88" s="307"/>
      <c r="E88" s="307"/>
      <c r="F88" s="307"/>
      <c r="G88" s="307"/>
      <c r="H88" s="189"/>
    </row>
    <row r="89" spans="1:8" s="25" customFormat="1" ht="13.5" customHeight="1">
      <c r="A89" s="81"/>
      <c r="B89" s="81" t="s">
        <v>75</v>
      </c>
      <c r="C89" s="754"/>
      <c r="D89" s="754"/>
      <c r="E89" s="754"/>
      <c r="F89" s="754"/>
      <c r="G89" s="754"/>
      <c r="H89" s="189"/>
    </row>
    <row r="90" spans="1:8" s="20" customFormat="1" ht="12" customHeight="1">
      <c r="A90" s="5">
        <v>1821</v>
      </c>
      <c r="B90" s="7" t="s">
        <v>290</v>
      </c>
      <c r="C90" s="755">
        <f aca="true" t="shared" si="2" ref="C90:E91">SUM(C12+C24+C36+C46+C54+C63)</f>
        <v>1844411</v>
      </c>
      <c r="D90" s="755">
        <f t="shared" si="2"/>
        <v>1911284</v>
      </c>
      <c r="E90" s="755">
        <f t="shared" si="2"/>
        <v>1913537</v>
      </c>
      <c r="F90" s="755">
        <f>SUM(F12+F24+F36+F46+F54+F63)</f>
        <v>1905242</v>
      </c>
      <c r="G90" s="755">
        <f>SUM(G12+G24+G36+G46+G54+G63)</f>
        <v>1896962</v>
      </c>
      <c r="H90" s="854">
        <f t="shared" si="1"/>
        <v>0.9956540953852582</v>
      </c>
    </row>
    <row r="91" spans="1:8" s="20" customFormat="1" ht="12" customHeight="1">
      <c r="A91" s="5">
        <v>1822</v>
      </c>
      <c r="B91" s="7" t="s">
        <v>113</v>
      </c>
      <c r="C91" s="182">
        <f t="shared" si="2"/>
        <v>403931</v>
      </c>
      <c r="D91" s="182">
        <f t="shared" si="2"/>
        <v>451259</v>
      </c>
      <c r="E91" s="182">
        <f t="shared" si="2"/>
        <v>451405</v>
      </c>
      <c r="F91" s="182">
        <f>SUM(F13+F25+F37+F47+F55+F64)</f>
        <v>456236</v>
      </c>
      <c r="G91" s="182">
        <f>SUM(G13+G25+G37+G47+G55+G64)</f>
        <v>454211</v>
      </c>
      <c r="H91" s="854">
        <f t="shared" si="1"/>
        <v>0.9955615076407824</v>
      </c>
    </row>
    <row r="92" spans="1:8" s="20" customFormat="1" ht="12">
      <c r="A92" s="170">
        <v>1823</v>
      </c>
      <c r="B92" s="7" t="s">
        <v>114</v>
      </c>
      <c r="C92" s="182">
        <f>SUM(C14+C26+C38+C48+C56+C65+C74+C80+C76)</f>
        <v>4272481</v>
      </c>
      <c r="D92" s="182">
        <f>SUM(D14+D26+D38+D48+D56+D65+D74+D80+D76)</f>
        <v>4664742</v>
      </c>
      <c r="E92" s="182">
        <f>SUM(E14+E26+E38+E48+E56+E65+E74+E80+E76)</f>
        <v>4755734</v>
      </c>
      <c r="F92" s="182">
        <f>SUM(F14+F26+F38+F48+F56+F65+F74+F80+F76)</f>
        <v>4772448</v>
      </c>
      <c r="G92" s="182">
        <f>SUM(G14+G26+G38+G48+G56+G65+G74+G80+G76)</f>
        <v>4787461</v>
      </c>
      <c r="H92" s="854">
        <f t="shared" si="1"/>
        <v>1.0031457650245743</v>
      </c>
    </row>
    <row r="93" spans="1:8" s="20" customFormat="1" ht="12">
      <c r="A93" s="170">
        <v>1824</v>
      </c>
      <c r="B93" s="7" t="s">
        <v>124</v>
      </c>
      <c r="C93" s="717">
        <f>SUM(C15+C27+C39)</f>
        <v>212460</v>
      </c>
      <c r="D93" s="717">
        <f>SUM(D15+D27+D39)</f>
        <v>213416</v>
      </c>
      <c r="E93" s="717">
        <f>SUM(E15+E27+E39)</f>
        <v>220418</v>
      </c>
      <c r="F93" s="717">
        <f>SUM(F15+F27+F39)</f>
        <v>228430</v>
      </c>
      <c r="G93" s="717">
        <f>SUM(G15+G27+G39)</f>
        <v>231207</v>
      </c>
      <c r="H93" s="854">
        <f t="shared" si="1"/>
        <v>1.0121568970800683</v>
      </c>
    </row>
    <row r="94" spans="1:8" s="20" customFormat="1" ht="12">
      <c r="A94" s="5">
        <v>1825</v>
      </c>
      <c r="B94" s="7" t="s">
        <v>307</v>
      </c>
      <c r="C94" s="712">
        <f>SUM(C16+C28+C40+C49+C57+C66+C85+C86+C83+C78)</f>
        <v>1672228</v>
      </c>
      <c r="D94" s="712">
        <f>SUM(D16+D28+D40+D49+D57+D66+D85+D86+D83+D78)</f>
        <v>3508311</v>
      </c>
      <c r="E94" s="712">
        <f>SUM(E16+E28+E40+E49+E57+E66+E85+E86+E83+E78)</f>
        <v>3566013</v>
      </c>
      <c r="F94" s="712">
        <f>SUM(F16+F28+F40+F49+F57+F66+F85+F86+F83+F78)</f>
        <v>2200147</v>
      </c>
      <c r="G94" s="712">
        <f>SUM(G16+G28+G40+G49+G57+G66+G85+G86+G83+G78)</f>
        <v>2146119</v>
      </c>
      <c r="H94" s="854">
        <f t="shared" si="1"/>
        <v>0.9754434590052392</v>
      </c>
    </row>
    <row r="95" spans="1:8" s="20" customFormat="1" ht="12.75" thickBot="1">
      <c r="A95" s="96"/>
      <c r="B95" s="192" t="s">
        <v>90</v>
      </c>
      <c r="C95" s="275">
        <f>SUM(C87)</f>
        <v>132662</v>
      </c>
      <c r="D95" s="275">
        <f>SUM(D87)</f>
        <v>1933841</v>
      </c>
      <c r="E95" s="275">
        <f>SUM(E87)</f>
        <v>1990930</v>
      </c>
      <c r="F95" s="275">
        <f>SUM(F87)</f>
        <v>620128</v>
      </c>
      <c r="G95" s="275">
        <f>SUM(G87)</f>
        <v>537004</v>
      </c>
      <c r="H95" s="855">
        <f t="shared" si="1"/>
        <v>0.865956705712369</v>
      </c>
    </row>
    <row r="96" spans="1:8" s="20" customFormat="1" ht="17.25" customHeight="1" thickBot="1">
      <c r="A96" s="180">
        <v>1820</v>
      </c>
      <c r="B96" s="180" t="s">
        <v>65</v>
      </c>
      <c r="C96" s="180">
        <f>SUM(C90:C95)-C95</f>
        <v>8405511</v>
      </c>
      <c r="D96" s="164">
        <f>SUM(D90:D95)-D95</f>
        <v>10749012</v>
      </c>
      <c r="E96" s="164">
        <f>SUM(E90:E95)-E95</f>
        <v>10907107</v>
      </c>
      <c r="F96" s="164">
        <f>SUM(F90:F95)-F95</f>
        <v>9562503</v>
      </c>
      <c r="G96" s="164">
        <f>SUM(G90:G95)-G95</f>
        <v>9515960</v>
      </c>
      <c r="H96" s="833">
        <f t="shared" si="1"/>
        <v>0.995132759696912</v>
      </c>
    </row>
    <row r="97" spans="1:8" s="20" customFormat="1" ht="12">
      <c r="A97" s="71"/>
      <c r="B97" s="71"/>
      <c r="C97" s="71"/>
      <c r="D97" s="71"/>
      <c r="E97" s="71"/>
      <c r="F97" s="71"/>
      <c r="G97" s="71"/>
      <c r="H97" s="834"/>
    </row>
    <row r="98" spans="1:8" s="20" customFormat="1" ht="12">
      <c r="A98" s="5"/>
      <c r="B98" s="97" t="s">
        <v>76</v>
      </c>
      <c r="C98" s="70"/>
      <c r="D98" s="70"/>
      <c r="E98" s="70"/>
      <c r="F98" s="70"/>
      <c r="G98" s="70"/>
      <c r="H98" s="189"/>
    </row>
    <row r="99" spans="1:8" s="20" customFormat="1" ht="12">
      <c r="A99" s="5">
        <v>1831</v>
      </c>
      <c r="B99" s="7" t="s">
        <v>261</v>
      </c>
      <c r="C99" s="6">
        <f>SUM(C17+C29+C41+C58+C67+C50)</f>
        <v>1275719</v>
      </c>
      <c r="D99" s="6">
        <f>SUM(D17+D29+D41+D58+D67+D50)</f>
        <v>1781340</v>
      </c>
      <c r="E99" s="6">
        <f>SUM(E17+E29+E41+E58+E67+E50)</f>
        <v>1733040</v>
      </c>
      <c r="F99" s="6">
        <f>SUM(F17+F29+F41+F58+F67+F50)</f>
        <v>1803360</v>
      </c>
      <c r="G99" s="6">
        <f>SUM(G17+G29+G41+G58+G67+G50)</f>
        <v>1820575</v>
      </c>
      <c r="H99" s="854">
        <f t="shared" si="1"/>
        <v>1.0095460695590452</v>
      </c>
    </row>
    <row r="100" spans="1:8" s="20" customFormat="1" ht="12">
      <c r="A100" s="5">
        <v>1832</v>
      </c>
      <c r="B100" s="7" t="s">
        <v>262</v>
      </c>
      <c r="C100" s="6">
        <f>SUM(C18+C42+C30+C59+C68)</f>
        <v>2862162</v>
      </c>
      <c r="D100" s="6">
        <f>SUM(D18+D42+D30+D59+D68)</f>
        <v>3815992</v>
      </c>
      <c r="E100" s="6">
        <f>SUM(E18+E42+E30+E59+E68)</f>
        <v>3850992</v>
      </c>
      <c r="F100" s="6">
        <f>SUM(F18+F42+F30+F59+F68)</f>
        <v>3806476</v>
      </c>
      <c r="G100" s="6">
        <f>SUM(G18+G42+G30+G59+G68)</f>
        <v>3515790</v>
      </c>
      <c r="H100" s="854">
        <f t="shared" si="1"/>
        <v>0.9236338282442869</v>
      </c>
    </row>
    <row r="101" spans="1:8" s="20" customFormat="1" ht="12.75" thickBot="1">
      <c r="A101" s="5">
        <v>1833</v>
      </c>
      <c r="B101" s="7" t="s">
        <v>342</v>
      </c>
      <c r="C101" s="5">
        <f>SUM(C43+C60+C51+C69+C71+C19)</f>
        <v>1706008</v>
      </c>
      <c r="D101" s="5">
        <f>SUM(D43+D60+D51+D69+D71+D19)</f>
        <v>1944124</v>
      </c>
      <c r="E101" s="5">
        <f>SUM(E43+E60+E51+E69+E71+E19)</f>
        <v>1943324</v>
      </c>
      <c r="F101" s="5">
        <f>SUM(F43+F60+F51+F69+F71+F19)</f>
        <v>1943819</v>
      </c>
      <c r="G101" s="5">
        <f>SUM(G43+G60+G51+G69+G71+G19)</f>
        <v>1945437</v>
      </c>
      <c r="H101" s="855">
        <f t="shared" si="1"/>
        <v>1.000832382027339</v>
      </c>
    </row>
    <row r="102" spans="1:8" s="20" customFormat="1" ht="18.75" customHeight="1" thickBot="1">
      <c r="A102" s="164">
        <v>1830</v>
      </c>
      <c r="B102" s="164" t="s">
        <v>77</v>
      </c>
      <c r="C102" s="179">
        <f>SUM(C99:C101)</f>
        <v>5843889</v>
      </c>
      <c r="D102" s="179">
        <f>SUM(D99:D101)</f>
        <v>7541456</v>
      </c>
      <c r="E102" s="179">
        <f>SUM(E99:E101)</f>
        <v>7527356</v>
      </c>
      <c r="F102" s="179">
        <f>SUM(F99:F101)</f>
        <v>7553655</v>
      </c>
      <c r="G102" s="179">
        <f>SUM(G99:G101)</f>
        <v>7281802</v>
      </c>
      <c r="H102" s="1188">
        <f t="shared" si="1"/>
        <v>0.9640104029109087</v>
      </c>
    </row>
    <row r="103" spans="1:8" s="20" customFormat="1" ht="12">
      <c r="A103" s="71"/>
      <c r="B103" s="69"/>
      <c r="C103" s="69"/>
      <c r="D103" s="69"/>
      <c r="E103" s="69"/>
      <c r="F103" s="69"/>
      <c r="G103" s="69"/>
      <c r="H103" s="834"/>
    </row>
    <row r="104" spans="1:8" s="20" customFormat="1" ht="12">
      <c r="A104" s="75">
        <v>1843</v>
      </c>
      <c r="B104" s="122" t="s">
        <v>498</v>
      </c>
      <c r="C104" s="707">
        <v>55360</v>
      </c>
      <c r="D104" s="303">
        <v>44400</v>
      </c>
      <c r="E104" s="303">
        <v>44400</v>
      </c>
      <c r="F104" s="303">
        <v>44400</v>
      </c>
      <c r="G104" s="303">
        <v>87184</v>
      </c>
      <c r="H104" s="189">
        <f t="shared" si="1"/>
        <v>1.9636036036036035</v>
      </c>
    </row>
    <row r="105" spans="1:8" s="20" customFormat="1" ht="12">
      <c r="A105" s="75">
        <v>1844</v>
      </c>
      <c r="B105" s="122" t="s">
        <v>506</v>
      </c>
      <c r="C105" s="707">
        <v>2000000</v>
      </c>
      <c r="D105" s="707">
        <v>2000000</v>
      </c>
      <c r="E105" s="707">
        <v>2000000</v>
      </c>
      <c r="F105" s="707">
        <v>2000000</v>
      </c>
      <c r="G105" s="707">
        <v>2000000</v>
      </c>
      <c r="H105" s="189">
        <f t="shared" si="1"/>
        <v>1</v>
      </c>
    </row>
    <row r="106" spans="1:8" s="20" customFormat="1" ht="12">
      <c r="A106" s="70">
        <v>1845</v>
      </c>
      <c r="B106" s="127" t="s">
        <v>509</v>
      </c>
      <c r="C106" s="71">
        <f>SUM(C107:C110)</f>
        <v>6578909</v>
      </c>
      <c r="D106" s="71">
        <f>SUM(D107:D110)</f>
        <v>6640351</v>
      </c>
      <c r="E106" s="71">
        <f>SUM(E107:E110)</f>
        <v>6700279</v>
      </c>
      <c r="F106" s="71">
        <f>SUM(F107:F110)</f>
        <v>6713096</v>
      </c>
      <c r="G106" s="71">
        <f>SUM(G107:G110)</f>
        <v>6714043</v>
      </c>
      <c r="H106" s="189">
        <f t="shared" si="1"/>
        <v>1.0001410675491607</v>
      </c>
    </row>
    <row r="107" spans="1:8" s="20" customFormat="1" ht="12">
      <c r="A107" s="75">
        <v>1846</v>
      </c>
      <c r="B107" s="69" t="s">
        <v>390</v>
      </c>
      <c r="C107" s="69">
        <f>SUM('2.mell'!C630)</f>
        <v>3589088</v>
      </c>
      <c r="D107" s="69">
        <f>SUM('2.mell'!D630)</f>
        <v>3723711</v>
      </c>
      <c r="E107" s="69">
        <f>SUM('2.mell'!E630)</f>
        <v>3770522</v>
      </c>
      <c r="F107" s="69">
        <f>SUM('2.mell'!F630)</f>
        <v>3783121</v>
      </c>
      <c r="G107" s="69">
        <f>SUM('2.mell'!G630)</f>
        <v>3783851</v>
      </c>
      <c r="H107" s="854">
        <f t="shared" si="1"/>
        <v>1.0001929623715446</v>
      </c>
    </row>
    <row r="108" spans="1:8" s="20" customFormat="1" ht="12">
      <c r="A108" s="75">
        <v>1847</v>
      </c>
      <c r="B108" s="75" t="s">
        <v>391</v>
      </c>
      <c r="C108" s="69">
        <f>SUM('2.mell'!C631)</f>
        <v>389568</v>
      </c>
      <c r="D108" s="69">
        <f>SUM('2.mell'!D631)</f>
        <v>389568</v>
      </c>
      <c r="E108" s="69">
        <f>SUM('2.mell'!E631)</f>
        <v>396950</v>
      </c>
      <c r="F108" s="69">
        <f>SUM('2.mell'!F631)</f>
        <v>396950</v>
      </c>
      <c r="G108" s="69">
        <f>SUM('2.mell'!G631)</f>
        <v>396950</v>
      </c>
      <c r="H108" s="854">
        <f t="shared" si="1"/>
        <v>1</v>
      </c>
    </row>
    <row r="109" spans="1:8" s="20" customFormat="1" ht="12">
      <c r="A109" s="75">
        <v>1848</v>
      </c>
      <c r="B109" s="69" t="s">
        <v>78</v>
      </c>
      <c r="C109" s="69">
        <f>SUM('3b.m.'!C31)</f>
        <v>698998</v>
      </c>
      <c r="D109" s="69">
        <f>SUM('3b.m.'!D31)</f>
        <v>719255</v>
      </c>
      <c r="E109" s="69">
        <f>SUM('3b.m.'!E31)</f>
        <v>719338</v>
      </c>
      <c r="F109" s="69">
        <f>SUM('3b.m.'!F31)</f>
        <v>719358</v>
      </c>
      <c r="G109" s="69">
        <f>SUM('3b.m.'!G31)</f>
        <v>719379</v>
      </c>
      <c r="H109" s="854">
        <f t="shared" si="1"/>
        <v>1.0000291926968212</v>
      </c>
    </row>
    <row r="110" spans="1:8" s="20" customFormat="1" ht="12.75" thickBot="1">
      <c r="A110" s="163">
        <v>1849</v>
      </c>
      <c r="B110" s="69" t="s">
        <v>369</v>
      </c>
      <c r="C110" s="705">
        <v>1901255</v>
      </c>
      <c r="D110" s="705">
        <v>1807817</v>
      </c>
      <c r="E110" s="705">
        <v>1813469</v>
      </c>
      <c r="F110" s="705">
        <v>1813667</v>
      </c>
      <c r="G110" s="705">
        <v>1813863</v>
      </c>
      <c r="H110" s="855">
        <f t="shared" si="1"/>
        <v>1.000108068349923</v>
      </c>
    </row>
    <row r="111" spans="1:8" s="20" customFormat="1" ht="18.75" customHeight="1" thickBot="1">
      <c r="A111" s="179">
        <v>1840</v>
      </c>
      <c r="B111" s="164" t="s">
        <v>67</v>
      </c>
      <c r="C111" s="706">
        <f>SUM(C106+C104+C105)</f>
        <v>8634269</v>
      </c>
      <c r="D111" s="706">
        <f>SUM(D106+D104+D105)</f>
        <v>8684751</v>
      </c>
      <c r="E111" s="706">
        <f>SUM(E106+E104+E105)</f>
        <v>8744679</v>
      </c>
      <c r="F111" s="706">
        <f>SUM(F106+F104+F105)</f>
        <v>8757496</v>
      </c>
      <c r="G111" s="706">
        <f>SUM(G106+G104+G105)</f>
        <v>8801227</v>
      </c>
      <c r="H111" s="1188">
        <f t="shared" si="1"/>
        <v>1.0049935506679077</v>
      </c>
    </row>
    <row r="112" spans="1:8" s="20" customFormat="1" ht="12">
      <c r="A112" s="183"/>
      <c r="B112" s="183"/>
      <c r="C112" s="707"/>
      <c r="D112" s="707"/>
      <c r="E112" s="707"/>
      <c r="F112" s="707"/>
      <c r="G112" s="707"/>
      <c r="H112" s="834"/>
    </row>
    <row r="113" spans="1:8" s="20" customFormat="1" ht="12.75" thickBot="1">
      <c r="A113" s="69">
        <v>1851</v>
      </c>
      <c r="B113" s="126" t="s">
        <v>499</v>
      </c>
      <c r="C113" s="1091">
        <v>48000</v>
      </c>
      <c r="D113" s="1091">
        <v>48000</v>
      </c>
      <c r="E113" s="1091">
        <v>48000</v>
      </c>
      <c r="F113" s="1091">
        <v>48000</v>
      </c>
      <c r="G113" s="1227">
        <v>48000</v>
      </c>
      <c r="H113" s="855">
        <f t="shared" si="1"/>
        <v>1</v>
      </c>
    </row>
    <row r="114" spans="1:8" s="20" customFormat="1" ht="18.75" customHeight="1" thickBot="1">
      <c r="A114" s="179">
        <v>1865</v>
      </c>
      <c r="B114" s="164" t="s">
        <v>69</v>
      </c>
      <c r="C114" s="708">
        <f>SUM(C113)</f>
        <v>48000</v>
      </c>
      <c r="D114" s="708">
        <f>SUM(D113)</f>
        <v>48000</v>
      </c>
      <c r="E114" s="708">
        <f>SUM(E113)</f>
        <v>48000</v>
      </c>
      <c r="F114" s="708">
        <f>SUM(F113)</f>
        <v>48000</v>
      </c>
      <c r="G114" s="708">
        <f>SUM(G113)</f>
        <v>48000</v>
      </c>
      <c r="H114" s="1188">
        <f t="shared" si="1"/>
        <v>1</v>
      </c>
    </row>
    <row r="115" spans="1:8" s="20" customFormat="1" ht="18.75" customHeight="1" thickBot="1">
      <c r="A115" s="179"/>
      <c r="B115" s="221"/>
      <c r="C115" s="708"/>
      <c r="D115" s="708"/>
      <c r="E115" s="708"/>
      <c r="F115" s="708"/>
      <c r="G115" s="708"/>
      <c r="H115" s="833"/>
    </row>
    <row r="116" spans="1:8" s="20" customFormat="1" ht="18" customHeight="1" thickBot="1">
      <c r="A116" s="94">
        <v>1870</v>
      </c>
      <c r="B116" s="162" t="s">
        <v>79</v>
      </c>
      <c r="C116" s="709">
        <f>SUM(C114+C111+C102+C96)</f>
        <v>22931669</v>
      </c>
      <c r="D116" s="709">
        <f>SUM(D114+D111+D102+D96)</f>
        <v>27023219</v>
      </c>
      <c r="E116" s="709">
        <f>SUM(E114+E111+E102+E96)</f>
        <v>27227142</v>
      </c>
      <c r="F116" s="709">
        <f>SUM(F114+F111+F102+F96)</f>
        <v>25921654</v>
      </c>
      <c r="G116" s="709">
        <f>SUM(G114+G111+G102+G96)</f>
        <v>25646989</v>
      </c>
      <c r="H116" s="833">
        <f t="shared" si="1"/>
        <v>0.9894040326284734</v>
      </c>
    </row>
    <row r="117" spans="1:8" ht="7.5" customHeight="1">
      <c r="A117" s="8"/>
      <c r="B117" s="61"/>
      <c r="C117" s="710"/>
      <c r="D117" s="710"/>
      <c r="E117" s="710"/>
      <c r="F117" s="710"/>
      <c r="G117" s="710"/>
      <c r="H117" s="834"/>
    </row>
    <row r="118" spans="1:8" s="28" customFormat="1" ht="12" customHeight="1">
      <c r="A118" s="15"/>
      <c r="B118" s="27" t="s">
        <v>388</v>
      </c>
      <c r="C118" s="711"/>
      <c r="D118" s="711"/>
      <c r="E118" s="711"/>
      <c r="F118" s="711"/>
      <c r="G118" s="711"/>
      <c r="H118" s="189"/>
    </row>
    <row r="119" spans="1:8" s="28" customFormat="1" ht="9" customHeight="1">
      <c r="A119" s="15"/>
      <c r="B119" s="27"/>
      <c r="C119" s="711"/>
      <c r="D119" s="711"/>
      <c r="E119" s="711"/>
      <c r="F119" s="711"/>
      <c r="G119" s="711"/>
      <c r="H119" s="189"/>
    </row>
    <row r="120" spans="1:8" s="28" customFormat="1" ht="12" customHeight="1">
      <c r="A120" s="15"/>
      <c r="B120" s="81" t="s">
        <v>75</v>
      </c>
      <c r="C120" s="711"/>
      <c r="D120" s="711"/>
      <c r="E120" s="711"/>
      <c r="F120" s="711"/>
      <c r="G120" s="711"/>
      <c r="H120" s="189"/>
    </row>
    <row r="121" spans="1:8" s="20" customFormat="1" ht="12">
      <c r="A121" s="5">
        <v>1911</v>
      </c>
      <c r="B121" s="7" t="s">
        <v>290</v>
      </c>
      <c r="C121" s="712">
        <f>SUM('2.mell'!C636)</f>
        <v>2238973</v>
      </c>
      <c r="D121" s="712">
        <f>SUM('2.mell'!D636)</f>
        <v>2302350</v>
      </c>
      <c r="E121" s="712">
        <f>SUM('2.mell'!E636)</f>
        <v>2304689</v>
      </c>
      <c r="F121" s="712">
        <f>SUM('2.mell'!F636)</f>
        <v>2324473</v>
      </c>
      <c r="G121" s="712">
        <f>SUM('2.mell'!G636)</f>
        <v>2303984</v>
      </c>
      <c r="H121" s="854">
        <f t="shared" si="1"/>
        <v>0.9911855289349457</v>
      </c>
    </row>
    <row r="122" spans="1:8" s="20" customFormat="1" ht="12">
      <c r="A122" s="5">
        <v>1912</v>
      </c>
      <c r="B122" s="7" t="s">
        <v>113</v>
      </c>
      <c r="C122" s="712">
        <f>SUM('2.mell'!C637)</f>
        <v>485229</v>
      </c>
      <c r="D122" s="712">
        <f>SUM('2.mell'!D637)</f>
        <v>498285</v>
      </c>
      <c r="E122" s="712">
        <f>SUM('2.mell'!E637)</f>
        <v>500377</v>
      </c>
      <c r="F122" s="712">
        <f>SUM('2.mell'!F637)</f>
        <v>506002</v>
      </c>
      <c r="G122" s="712">
        <f>SUM('2.mell'!G637)</f>
        <v>503618</v>
      </c>
      <c r="H122" s="854">
        <f t="shared" si="1"/>
        <v>0.9952885561717147</v>
      </c>
    </row>
    <row r="123" spans="1:8" s="20" customFormat="1" ht="12">
      <c r="A123" s="5">
        <v>1913</v>
      </c>
      <c r="B123" s="5" t="s">
        <v>114</v>
      </c>
      <c r="C123" s="712">
        <f>SUM('2.mell'!C638)</f>
        <v>1533500</v>
      </c>
      <c r="D123" s="712">
        <f>SUM('2.mell'!D638)</f>
        <v>1620592</v>
      </c>
      <c r="E123" s="712">
        <f>SUM('2.mell'!E638)</f>
        <v>1668853</v>
      </c>
      <c r="F123" s="712">
        <f>SUM('2.mell'!F638)</f>
        <v>1663997</v>
      </c>
      <c r="G123" s="712">
        <f>SUM('2.mell'!G638)</f>
        <v>1737636</v>
      </c>
      <c r="H123" s="854">
        <f t="shared" si="1"/>
        <v>1.0442542865161415</v>
      </c>
    </row>
    <row r="124" spans="1:8" s="26" customFormat="1" ht="12">
      <c r="A124" s="75">
        <v>1915</v>
      </c>
      <c r="B124" s="7" t="s">
        <v>258</v>
      </c>
      <c r="C124" s="712">
        <f>SUM('2.mell'!C639)</f>
        <v>600</v>
      </c>
      <c r="D124" s="712">
        <f>SUM('2.mell'!D639)</f>
        <v>600</v>
      </c>
      <c r="E124" s="712">
        <f>SUM('2.mell'!E639)</f>
        <v>600</v>
      </c>
      <c r="F124" s="712">
        <f>SUM('2.mell'!F639)</f>
        <v>600</v>
      </c>
      <c r="G124" s="712">
        <f>SUM('2.mell'!G639)</f>
        <v>600</v>
      </c>
      <c r="H124" s="854">
        <f t="shared" si="1"/>
        <v>1</v>
      </c>
    </row>
    <row r="125" spans="1:8" s="20" customFormat="1" ht="12">
      <c r="A125" s="5">
        <v>1916</v>
      </c>
      <c r="B125" s="7" t="s">
        <v>307</v>
      </c>
      <c r="C125" s="712">
        <f>SUM('2.mell'!C640)</f>
        <v>0</v>
      </c>
      <c r="D125" s="712">
        <f>SUM('2.mell'!D640)</f>
        <v>0</v>
      </c>
      <c r="E125" s="712">
        <f>SUM('2.mell'!E640)</f>
        <v>7</v>
      </c>
      <c r="F125" s="712">
        <f>SUM('2.mell'!F640)</f>
        <v>76</v>
      </c>
      <c r="G125" s="712">
        <f>SUM('2.mell'!G640)</f>
        <v>76</v>
      </c>
      <c r="H125" s="854">
        <f t="shared" si="1"/>
        <v>1</v>
      </c>
    </row>
    <row r="126" spans="1:8" s="20" customFormat="1" ht="12">
      <c r="A126" s="70">
        <v>1910</v>
      </c>
      <c r="B126" s="71" t="s">
        <v>65</v>
      </c>
      <c r="C126" s="713">
        <f>SUM(C121:C125)</f>
        <v>4258302</v>
      </c>
      <c r="D126" s="713">
        <f>SUM(D121:D125)</f>
        <v>4421827</v>
      </c>
      <c r="E126" s="713">
        <f>SUM(E121:E125)</f>
        <v>4474526</v>
      </c>
      <c r="F126" s="713">
        <f>SUM(F121:F125)</f>
        <v>4495148</v>
      </c>
      <c r="G126" s="713">
        <f>SUM(G121:G125)</f>
        <v>4545914</v>
      </c>
      <c r="H126" s="189">
        <f t="shared" si="1"/>
        <v>1.0112935102470486</v>
      </c>
    </row>
    <row r="127" spans="1:8" s="20" customFormat="1" ht="12">
      <c r="A127" s="5"/>
      <c r="B127" s="92" t="s">
        <v>76</v>
      </c>
      <c r="C127" s="713"/>
      <c r="D127" s="713"/>
      <c r="E127" s="713"/>
      <c r="F127" s="713"/>
      <c r="G127" s="713"/>
      <c r="H127" s="189"/>
    </row>
    <row r="128" spans="1:8" s="20" customFormat="1" ht="12">
      <c r="A128" s="5">
        <v>1921</v>
      </c>
      <c r="B128" s="7" t="s">
        <v>261</v>
      </c>
      <c r="C128" s="712">
        <f>SUM('2.mell'!C642)</f>
        <v>63531</v>
      </c>
      <c r="D128" s="712">
        <f>SUM('2.mell'!D642)</f>
        <v>68214</v>
      </c>
      <c r="E128" s="712">
        <f>SUM('2.mell'!E642)</f>
        <v>75283</v>
      </c>
      <c r="F128" s="712">
        <f>SUM('2.mell'!F642)</f>
        <v>95768</v>
      </c>
      <c r="G128" s="712">
        <f>SUM('2.mell'!G642)</f>
        <v>96429</v>
      </c>
      <c r="H128" s="854">
        <f t="shared" si="1"/>
        <v>1.0069020967337732</v>
      </c>
    </row>
    <row r="129" spans="1:8" s="20" customFormat="1" ht="12">
      <c r="A129" s="5">
        <v>1922</v>
      </c>
      <c r="B129" s="7" t="s">
        <v>262</v>
      </c>
      <c r="C129" s="712">
        <f>SUM('2.mell'!C643)</f>
        <v>0</v>
      </c>
      <c r="D129" s="712">
        <f>SUM('2.mell'!D643)</f>
        <v>0</v>
      </c>
      <c r="E129" s="712">
        <f>SUM('2.mell'!E643)</f>
        <v>0</v>
      </c>
      <c r="F129" s="712">
        <f>SUM('2.mell'!F643)</f>
        <v>0</v>
      </c>
      <c r="G129" s="712">
        <f>SUM('2.mell'!G643)</f>
        <v>0</v>
      </c>
      <c r="H129" s="189"/>
    </row>
    <row r="130" spans="1:8" s="20" customFormat="1" ht="12">
      <c r="A130" s="5">
        <v>1923</v>
      </c>
      <c r="B130" s="7" t="s">
        <v>342</v>
      </c>
      <c r="C130" s="712">
        <f>SUM('2.mell'!C644)</f>
        <v>0</v>
      </c>
      <c r="D130" s="712">
        <f>SUM('2.mell'!D644)</f>
        <v>0</v>
      </c>
      <c r="E130" s="712">
        <f>SUM('2.mell'!E644)</f>
        <v>0</v>
      </c>
      <c r="F130" s="712">
        <f>SUM('2.mell'!F644)</f>
        <v>0</v>
      </c>
      <c r="G130" s="712">
        <f>SUM('2.mell'!G644)</f>
        <v>0</v>
      </c>
      <c r="H130" s="189"/>
    </row>
    <row r="131" spans="1:8" s="20" customFormat="1" ht="12.75" thickBot="1">
      <c r="A131" s="93">
        <v>1920</v>
      </c>
      <c r="B131" s="93" t="s">
        <v>71</v>
      </c>
      <c r="C131" s="714">
        <f>SUM(C128:C130)</f>
        <v>63531</v>
      </c>
      <c r="D131" s="714">
        <f>SUM(D128:D130)</f>
        <v>68214</v>
      </c>
      <c r="E131" s="714">
        <f>SUM(E128:E130)</f>
        <v>75283</v>
      </c>
      <c r="F131" s="714">
        <f>SUM(F128:F130)</f>
        <v>95768</v>
      </c>
      <c r="G131" s="714">
        <f>SUM(G128:G130)</f>
        <v>96429</v>
      </c>
      <c r="H131" s="852">
        <f t="shared" si="1"/>
        <v>1.0069020967337732</v>
      </c>
    </row>
    <row r="132" spans="1:8" s="20" customFormat="1" ht="16.5" customHeight="1" thickBot="1">
      <c r="A132" s="94"/>
      <c r="B132" s="164"/>
      <c r="C132" s="709"/>
      <c r="D132" s="709"/>
      <c r="E132" s="709"/>
      <c r="F132" s="709"/>
      <c r="G132" s="709"/>
      <c r="H132" s="833"/>
    </row>
    <row r="133" spans="1:8" s="30" customFormat="1" ht="13.5" thickBot="1">
      <c r="A133" s="29">
        <v>1940</v>
      </c>
      <c r="B133" s="95" t="s">
        <v>389</v>
      </c>
      <c r="C133" s="756">
        <f>SUM(C126+C131)</f>
        <v>4321833</v>
      </c>
      <c r="D133" s="756">
        <f>SUM(D126+D131)</f>
        <v>4490041</v>
      </c>
      <c r="E133" s="756">
        <f>SUM(E126+E131)</f>
        <v>4549809</v>
      </c>
      <c r="F133" s="756">
        <f>SUM(F126+F131)</f>
        <v>4590916</v>
      </c>
      <c r="G133" s="756">
        <f>SUM(G126+G131)</f>
        <v>4642343</v>
      </c>
      <c r="H133" s="833">
        <f t="shared" si="1"/>
        <v>1.0112019039337683</v>
      </c>
    </row>
    <row r="134" spans="1:8" s="30" customFormat="1" ht="12.75">
      <c r="A134" s="91"/>
      <c r="B134" s="196"/>
      <c r="C134" s="715"/>
      <c r="D134" s="715"/>
      <c r="E134" s="715"/>
      <c r="F134" s="715"/>
      <c r="G134" s="715"/>
      <c r="H134" s="834"/>
    </row>
    <row r="135" spans="1:8" ht="14.25" customHeight="1">
      <c r="A135" s="15"/>
      <c r="B135" s="15" t="s">
        <v>372</v>
      </c>
      <c r="C135" s="716"/>
      <c r="D135" s="716"/>
      <c r="E135" s="716"/>
      <c r="F135" s="716"/>
      <c r="G135" s="716"/>
      <c r="H135" s="189"/>
    </row>
    <row r="136" spans="1:8" ht="14.25" customHeight="1">
      <c r="A136" s="15"/>
      <c r="B136" s="81" t="s">
        <v>75</v>
      </c>
      <c r="C136" s="711"/>
      <c r="D136" s="711"/>
      <c r="E136" s="711"/>
      <c r="F136" s="711"/>
      <c r="G136" s="711"/>
      <c r="H136" s="189"/>
    </row>
    <row r="137" spans="1:8" ht="12">
      <c r="A137" s="5">
        <v>1951</v>
      </c>
      <c r="B137" s="7" t="s">
        <v>165</v>
      </c>
      <c r="C137" s="686">
        <f aca="true" t="shared" si="3" ref="C137:D139">SUM(C90+C121)</f>
        <v>4083384</v>
      </c>
      <c r="D137" s="686">
        <f t="shared" si="3"/>
        <v>4213634</v>
      </c>
      <c r="E137" s="686">
        <f aca="true" t="shared" si="4" ref="E137:F139">SUM(E90+E121)</f>
        <v>4218226</v>
      </c>
      <c r="F137" s="686">
        <f t="shared" si="4"/>
        <v>4229715</v>
      </c>
      <c r="G137" s="686">
        <f>SUM(G90+G121)</f>
        <v>4200946</v>
      </c>
      <c r="H137" s="854">
        <f t="shared" si="1"/>
        <v>0.9931983597003581</v>
      </c>
    </row>
    <row r="138" spans="1:8" ht="12">
      <c r="A138" s="5">
        <v>1952</v>
      </c>
      <c r="B138" s="7" t="s">
        <v>321</v>
      </c>
      <c r="C138" s="686">
        <f t="shared" si="3"/>
        <v>889160</v>
      </c>
      <c r="D138" s="686">
        <f t="shared" si="3"/>
        <v>949544</v>
      </c>
      <c r="E138" s="686">
        <f t="shared" si="4"/>
        <v>951782</v>
      </c>
      <c r="F138" s="686">
        <f t="shared" si="4"/>
        <v>962238</v>
      </c>
      <c r="G138" s="686">
        <f>SUM(G91+G122)</f>
        <v>957829</v>
      </c>
      <c r="H138" s="854">
        <f t="shared" si="1"/>
        <v>0.9954179735159077</v>
      </c>
    </row>
    <row r="139" spans="1:8" ht="12">
      <c r="A139" s="5">
        <v>1953</v>
      </c>
      <c r="B139" s="7" t="s">
        <v>322</v>
      </c>
      <c r="C139" s="686">
        <f t="shared" si="3"/>
        <v>5805981</v>
      </c>
      <c r="D139" s="686">
        <f t="shared" si="3"/>
        <v>6285334</v>
      </c>
      <c r="E139" s="686">
        <f t="shared" si="4"/>
        <v>6424587</v>
      </c>
      <c r="F139" s="686">
        <f t="shared" si="4"/>
        <v>6436445</v>
      </c>
      <c r="G139" s="686">
        <f>SUM(G92+G123)</f>
        <v>6525097</v>
      </c>
      <c r="H139" s="854">
        <f t="shared" si="1"/>
        <v>1.0137734417057864</v>
      </c>
    </row>
    <row r="140" spans="1:8" ht="12">
      <c r="A140" s="5">
        <v>1954</v>
      </c>
      <c r="B140" s="7" t="s">
        <v>170</v>
      </c>
      <c r="C140" s="686">
        <f>SUM(C124+C93)</f>
        <v>213060</v>
      </c>
      <c r="D140" s="686">
        <f>SUM(D124+D93)</f>
        <v>214016</v>
      </c>
      <c r="E140" s="686">
        <f>SUM(E124+E93)</f>
        <v>221018</v>
      </c>
      <c r="F140" s="686">
        <f>SUM(F124+F93)</f>
        <v>229030</v>
      </c>
      <c r="G140" s="686">
        <f>SUM(G124+G93)</f>
        <v>231807</v>
      </c>
      <c r="H140" s="854">
        <f aca="true" t="shared" si="5" ref="H140:H154">SUM(G140/F140)</f>
        <v>1.0121250491202025</v>
      </c>
    </row>
    <row r="141" spans="1:8" ht="12.75" thickBot="1">
      <c r="A141" s="5">
        <v>1955</v>
      </c>
      <c r="B141" s="7" t="s">
        <v>103</v>
      </c>
      <c r="C141" s="7">
        <f>SUM(C94+C125)</f>
        <v>1672228</v>
      </c>
      <c r="D141" s="7">
        <f>SUM(D94+D125)</f>
        <v>3508311</v>
      </c>
      <c r="E141" s="7">
        <f>SUM(E94+E125)</f>
        <v>3566020</v>
      </c>
      <c r="F141" s="7">
        <f>SUM(F94+F125)</f>
        <v>2200223</v>
      </c>
      <c r="G141" s="7">
        <f>SUM(G94+G125)</f>
        <v>2146195</v>
      </c>
      <c r="H141" s="855">
        <f t="shared" si="5"/>
        <v>0.9754443072361302</v>
      </c>
    </row>
    <row r="142" spans="1:8" ht="18" customHeight="1" thickBot="1">
      <c r="A142" s="164">
        <v>1950</v>
      </c>
      <c r="B142" s="164" t="s">
        <v>65</v>
      </c>
      <c r="C142" s="164">
        <f>SUM(C137:C141)</f>
        <v>12663813</v>
      </c>
      <c r="D142" s="164">
        <f>SUM(D137:D141)</f>
        <v>15170839</v>
      </c>
      <c r="E142" s="164">
        <f>SUM(E137:E141)</f>
        <v>15381633</v>
      </c>
      <c r="F142" s="164">
        <f>SUM(F137:F141)</f>
        <v>14057651</v>
      </c>
      <c r="G142" s="164">
        <f>SUM(G137:G141)</f>
        <v>14061874</v>
      </c>
      <c r="H142" s="833">
        <f t="shared" si="5"/>
        <v>1.0003004058074851</v>
      </c>
    </row>
    <row r="143" spans="1:8" ht="12">
      <c r="A143" s="7"/>
      <c r="B143" s="92" t="s">
        <v>76</v>
      </c>
      <c r="C143" s="7"/>
      <c r="D143" s="7"/>
      <c r="E143" s="7"/>
      <c r="F143" s="7"/>
      <c r="G143" s="7"/>
      <c r="H143" s="834"/>
    </row>
    <row r="144" spans="1:8" ht="12">
      <c r="A144" s="7">
        <v>1961</v>
      </c>
      <c r="B144" s="92" t="s">
        <v>263</v>
      </c>
      <c r="C144" s="75">
        <f aca="true" t="shared" si="6" ref="C144:E145">SUM(C99+C128)</f>
        <v>1339250</v>
      </c>
      <c r="D144" s="75">
        <f t="shared" si="6"/>
        <v>1849554</v>
      </c>
      <c r="E144" s="75">
        <f t="shared" si="6"/>
        <v>1808323</v>
      </c>
      <c r="F144" s="75">
        <f>SUM(F99+F128)</f>
        <v>1899128</v>
      </c>
      <c r="G144" s="75">
        <f>SUM(G99+G128)</f>
        <v>1917004</v>
      </c>
      <c r="H144" s="854">
        <f t="shared" si="5"/>
        <v>1.0094127410053455</v>
      </c>
    </row>
    <row r="145" spans="1:8" ht="12">
      <c r="A145" s="5">
        <v>1962</v>
      </c>
      <c r="B145" s="7" t="s">
        <v>262</v>
      </c>
      <c r="C145" s="69">
        <f t="shared" si="6"/>
        <v>2862162</v>
      </c>
      <c r="D145" s="69">
        <f t="shared" si="6"/>
        <v>3815992</v>
      </c>
      <c r="E145" s="69">
        <f t="shared" si="6"/>
        <v>3850992</v>
      </c>
      <c r="F145" s="69">
        <f>SUM(F100+F129)</f>
        <v>3806476</v>
      </c>
      <c r="G145" s="69">
        <f>SUM(G100+G129)</f>
        <v>3515790</v>
      </c>
      <c r="H145" s="854">
        <f t="shared" si="5"/>
        <v>0.9236338282442869</v>
      </c>
    </row>
    <row r="146" spans="1:8" ht="12.75" thickBot="1">
      <c r="A146" s="5">
        <v>1963</v>
      </c>
      <c r="B146" s="7" t="s">
        <v>342</v>
      </c>
      <c r="C146" s="77">
        <f>SUM(C130+C101)</f>
        <v>1706008</v>
      </c>
      <c r="D146" s="77">
        <f>SUM(D130+D101)</f>
        <v>1944124</v>
      </c>
      <c r="E146" s="77">
        <f>SUM(E130+E101)</f>
        <v>1943324</v>
      </c>
      <c r="F146" s="77">
        <f>SUM(F130+F101)</f>
        <v>1943819</v>
      </c>
      <c r="G146" s="77">
        <f>SUM(G130+G101)</f>
        <v>1945437</v>
      </c>
      <c r="H146" s="855">
        <f t="shared" si="5"/>
        <v>1.000832382027339</v>
      </c>
    </row>
    <row r="147" spans="1:8" ht="17.25" customHeight="1" thickBot="1">
      <c r="A147" s="164">
        <v>1960</v>
      </c>
      <c r="B147" s="164" t="s">
        <v>71</v>
      </c>
      <c r="C147" s="180">
        <f>SUM(C144:C146)</f>
        <v>5907420</v>
      </c>
      <c r="D147" s="180">
        <f>SUM(D144:D146)</f>
        <v>7609670</v>
      </c>
      <c r="E147" s="180">
        <f>SUM(E144:E146)</f>
        <v>7602639</v>
      </c>
      <c r="F147" s="180">
        <f>SUM(F144:F146)</f>
        <v>7649423</v>
      </c>
      <c r="G147" s="180">
        <f>SUM(G144:G146)</f>
        <v>7378231</v>
      </c>
      <c r="H147" s="833">
        <f t="shared" si="5"/>
        <v>0.9645473913522628</v>
      </c>
    </row>
    <row r="148" spans="1:8" ht="12">
      <c r="A148" s="75">
        <v>1974</v>
      </c>
      <c r="B148" s="122" t="s">
        <v>509</v>
      </c>
      <c r="C148" s="75">
        <f>SUM(C106)</f>
        <v>6578909</v>
      </c>
      <c r="D148" s="75">
        <f>SUM(D106)</f>
        <v>6640351</v>
      </c>
      <c r="E148" s="75">
        <f>SUM(E106)</f>
        <v>6700279</v>
      </c>
      <c r="F148" s="75">
        <f>SUM(F106)</f>
        <v>6713096</v>
      </c>
      <c r="G148" s="75">
        <f>SUM(G106)</f>
        <v>6714043</v>
      </c>
      <c r="H148" s="1181">
        <f t="shared" si="5"/>
        <v>1.0001410675491607</v>
      </c>
    </row>
    <row r="149" spans="1:8" ht="12">
      <c r="A149" s="209">
        <v>1975</v>
      </c>
      <c r="B149" s="122" t="s">
        <v>498</v>
      </c>
      <c r="C149" s="75">
        <f>SUM(C104)</f>
        <v>55360</v>
      </c>
      <c r="D149" s="75">
        <f>SUM(D104)</f>
        <v>44400</v>
      </c>
      <c r="E149" s="75">
        <f>SUM(E104)</f>
        <v>44400</v>
      </c>
      <c r="F149" s="75">
        <f>SUM(F104)</f>
        <v>44400</v>
      </c>
      <c r="G149" s="75">
        <f>SUM(G104)</f>
        <v>87184</v>
      </c>
      <c r="H149" s="854">
        <f t="shared" si="5"/>
        <v>1.9636036036036035</v>
      </c>
    </row>
    <row r="150" spans="1:8" ht="12.75" thickBot="1">
      <c r="A150" s="628">
        <v>1976</v>
      </c>
      <c r="B150" s="122" t="s">
        <v>506</v>
      </c>
      <c r="C150" s="1090">
        <v>2000000</v>
      </c>
      <c r="D150" s="1090">
        <v>2000000</v>
      </c>
      <c r="E150" s="1090">
        <v>2000000</v>
      </c>
      <c r="F150" s="1090">
        <v>2000000</v>
      </c>
      <c r="G150" s="1090">
        <v>2000000</v>
      </c>
      <c r="H150" s="855">
        <f t="shared" si="5"/>
        <v>1</v>
      </c>
    </row>
    <row r="151" spans="1:8" ht="17.25" customHeight="1" thickBot="1">
      <c r="A151" s="179">
        <v>1970</v>
      </c>
      <c r="B151" s="164" t="s">
        <v>38</v>
      </c>
      <c r="C151" s="179">
        <f>SUM(C148:C150)</f>
        <v>8634269</v>
      </c>
      <c r="D151" s="179">
        <f>SUM(D148:D150)</f>
        <v>8684751</v>
      </c>
      <c r="E151" s="179">
        <f>SUM(E148:E150)</f>
        <v>8744679</v>
      </c>
      <c r="F151" s="179">
        <f>SUM(F148:F150)</f>
        <v>8757496</v>
      </c>
      <c r="G151" s="179">
        <f>SUM(G148:G150)</f>
        <v>8801227</v>
      </c>
      <c r="H151" s="833">
        <f t="shared" si="5"/>
        <v>1.0049935506679077</v>
      </c>
    </row>
    <row r="152" spans="1:8" ht="12" customHeight="1" thickBot="1">
      <c r="A152" s="7">
        <v>1981</v>
      </c>
      <c r="B152" s="126" t="s">
        <v>499</v>
      </c>
      <c r="C152" s="69">
        <f>SUM(C113)</f>
        <v>48000</v>
      </c>
      <c r="D152" s="69">
        <f>SUM(D113)</f>
        <v>48000</v>
      </c>
      <c r="E152" s="69">
        <f>SUM(E113)</f>
        <v>48000</v>
      </c>
      <c r="F152" s="69">
        <f>SUM(F113)</f>
        <v>48000</v>
      </c>
      <c r="G152" s="69">
        <f>SUM(G113)</f>
        <v>48000</v>
      </c>
      <c r="H152" s="853">
        <f t="shared" si="5"/>
        <v>1</v>
      </c>
    </row>
    <row r="153" spans="1:8" ht="17.25" customHeight="1" thickBot="1">
      <c r="A153" s="179">
        <v>1980</v>
      </c>
      <c r="B153" s="164" t="s">
        <v>37</v>
      </c>
      <c r="C153" s="179">
        <f>SUM(C152:C152)</f>
        <v>48000</v>
      </c>
      <c r="D153" s="179">
        <f>SUM(D152:D152)</f>
        <v>48000</v>
      </c>
      <c r="E153" s="179">
        <f>SUM(E152:E152)</f>
        <v>48000</v>
      </c>
      <c r="F153" s="179">
        <f>SUM(F152:F152)</f>
        <v>48000</v>
      </c>
      <c r="G153" s="179">
        <f>SUM(G152:G152)</f>
        <v>48000</v>
      </c>
      <c r="H153" s="833">
        <f t="shared" si="5"/>
        <v>1</v>
      </c>
    </row>
    <row r="154" spans="1:8" ht="26.25" customHeight="1" thickBot="1">
      <c r="A154" s="31"/>
      <c r="B154" s="791" t="s">
        <v>437</v>
      </c>
      <c r="C154" s="181">
        <f>SUM(C152+C147+C142+C149+C150)</f>
        <v>20674593</v>
      </c>
      <c r="D154" s="181">
        <f>SUM(D152+D147+D142+D149+D150)</f>
        <v>24872909</v>
      </c>
      <c r="E154" s="181">
        <f>SUM(E152+E147+E142+E149+E150)</f>
        <v>25076672</v>
      </c>
      <c r="F154" s="181">
        <f>SUM(F152+F147+F142+F149+F150)</f>
        <v>23799474</v>
      </c>
      <c r="G154" s="181">
        <f>SUM(G152+G147+G142+G149+G150)</f>
        <v>23575289</v>
      </c>
      <c r="H154" s="1188">
        <f t="shared" si="5"/>
        <v>0.9905802540005716</v>
      </c>
    </row>
  </sheetData>
  <sheetProtection/>
  <mergeCells count="8">
    <mergeCell ref="H5:H7"/>
    <mergeCell ref="A2:H2"/>
    <mergeCell ref="A1:H1"/>
    <mergeCell ref="C5:C7"/>
    <mergeCell ref="D5:D7"/>
    <mergeCell ref="E5:E7"/>
    <mergeCell ref="F5:F7"/>
    <mergeCell ref="G5:G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6"/>
  <sheetViews>
    <sheetView zoomScaleSheetLayoutView="100" zoomScalePageLayoutView="0" workbookViewId="0" topLeftCell="A22">
      <selection activeCell="H34" sqref="H34"/>
    </sheetView>
  </sheetViews>
  <sheetFormatPr defaultColWidth="9.00390625" defaultRowHeight="12.75"/>
  <cols>
    <col min="1" max="1" width="8.625" style="223" customWidth="1"/>
    <col min="2" max="2" width="61.875" style="223" customWidth="1"/>
    <col min="3" max="7" width="10.875" style="223" customWidth="1"/>
    <col min="8" max="8" width="9.125" style="223" customWidth="1"/>
    <col min="9" max="16384" width="9.125" style="223" customWidth="1"/>
  </cols>
  <sheetData>
    <row r="1" spans="1:8" ht="12.75">
      <c r="A1" s="1282" t="s">
        <v>292</v>
      </c>
      <c r="B1" s="1278"/>
      <c r="C1" s="1278"/>
      <c r="D1" s="1278"/>
      <c r="E1" s="1278"/>
      <c r="F1" s="1278"/>
      <c r="G1" s="1278"/>
      <c r="H1" s="1278"/>
    </row>
    <row r="2" spans="1:8" ht="12.75">
      <c r="A2" s="1276" t="s">
        <v>1070</v>
      </c>
      <c r="B2" s="1277"/>
      <c r="C2" s="1278"/>
      <c r="D2" s="1278"/>
      <c r="E2" s="1278"/>
      <c r="F2" s="1278"/>
      <c r="G2" s="1278"/>
      <c r="H2" s="1278"/>
    </row>
    <row r="3" spans="1:2" ht="12.75">
      <c r="A3" s="224"/>
      <c r="B3" s="224"/>
    </row>
    <row r="4" spans="1:8" ht="12.75">
      <c r="A4" s="308"/>
      <c r="B4" s="309"/>
      <c r="C4" s="310"/>
      <c r="D4" s="310"/>
      <c r="E4" s="310"/>
      <c r="F4" s="310"/>
      <c r="G4" s="310"/>
      <c r="H4" s="310" t="s">
        <v>191</v>
      </c>
    </row>
    <row r="5" spans="1:8" ht="12" customHeight="1">
      <c r="A5" s="1283" t="s">
        <v>293</v>
      </c>
      <c r="B5" s="1283" t="s">
        <v>171</v>
      </c>
      <c r="C5" s="1286" t="s">
        <v>1131</v>
      </c>
      <c r="D5" s="1286" t="s">
        <v>1188</v>
      </c>
      <c r="E5" s="1286" t="s">
        <v>1204</v>
      </c>
      <c r="F5" s="1286" t="s">
        <v>1225</v>
      </c>
      <c r="G5" s="1286" t="s">
        <v>1243</v>
      </c>
      <c r="H5" s="1279" t="s">
        <v>1232</v>
      </c>
    </row>
    <row r="6" spans="1:8" ht="12.75">
      <c r="A6" s="1284"/>
      <c r="B6" s="1284"/>
      <c r="C6" s="1287"/>
      <c r="D6" s="1287"/>
      <c r="E6" s="1287"/>
      <c r="F6" s="1287"/>
      <c r="G6" s="1287"/>
      <c r="H6" s="1280"/>
    </row>
    <row r="7" spans="1:8" ht="13.5" thickBot="1">
      <c r="A7" s="1285"/>
      <c r="B7" s="1285"/>
      <c r="C7" s="1288"/>
      <c r="D7" s="1288"/>
      <c r="E7" s="1288"/>
      <c r="F7" s="1288"/>
      <c r="G7" s="1288"/>
      <c r="H7" s="1281"/>
    </row>
    <row r="8" spans="1:8" ht="13.5" thickBot="1">
      <c r="A8" s="311" t="s">
        <v>295</v>
      </c>
      <c r="B8" s="312" t="s">
        <v>297</v>
      </c>
      <c r="C8" s="311" t="s">
        <v>174</v>
      </c>
      <c r="D8" s="311" t="s">
        <v>175</v>
      </c>
      <c r="E8" s="311" t="s">
        <v>176</v>
      </c>
      <c r="F8" s="311" t="s">
        <v>47</v>
      </c>
      <c r="G8" s="311" t="s">
        <v>386</v>
      </c>
      <c r="H8" s="311" t="s">
        <v>618</v>
      </c>
    </row>
    <row r="9" spans="1:8" ht="15">
      <c r="A9" s="225">
        <v>2305</v>
      </c>
      <c r="B9" s="313" t="s">
        <v>341</v>
      </c>
      <c r="C9" s="314"/>
      <c r="D9" s="314"/>
      <c r="E9" s="314"/>
      <c r="F9" s="314"/>
      <c r="G9" s="314"/>
      <c r="H9" s="315"/>
    </row>
    <row r="10" spans="1:8" ht="12.75" customHeight="1">
      <c r="A10" s="225"/>
      <c r="B10" s="316" t="s">
        <v>201</v>
      </c>
      <c r="C10" s="314"/>
      <c r="D10" s="314"/>
      <c r="E10" s="314"/>
      <c r="F10" s="314"/>
      <c r="G10" s="314"/>
      <c r="H10" s="315"/>
    </row>
    <row r="11" spans="1:8" ht="12.75" customHeight="1" thickBot="1">
      <c r="A11" s="225"/>
      <c r="B11" s="317" t="s">
        <v>202</v>
      </c>
      <c r="C11" s="573"/>
      <c r="D11" s="573"/>
      <c r="E11" s="573">
        <v>146</v>
      </c>
      <c r="F11" s="573">
        <v>146</v>
      </c>
      <c r="G11" s="573">
        <v>1461</v>
      </c>
      <c r="H11" s="736">
        <f>SUM(G11/F11)</f>
        <v>10.006849315068493</v>
      </c>
    </row>
    <row r="12" spans="1:8" ht="13.5" customHeight="1" thickBot="1">
      <c r="A12" s="225"/>
      <c r="B12" s="318" t="s">
        <v>203</v>
      </c>
      <c r="C12" s="572"/>
      <c r="D12" s="572"/>
      <c r="E12" s="572">
        <f>SUM(E11)</f>
        <v>146</v>
      </c>
      <c r="F12" s="572">
        <f>SUM(F11)</f>
        <v>146</v>
      </c>
      <c r="G12" s="572">
        <f>SUM(G11)</f>
        <v>1461</v>
      </c>
      <c r="H12" s="832">
        <f aca="true" t="shared" si="0" ref="H12:H75">SUM(G12/F12)</f>
        <v>10.006849315068493</v>
      </c>
    </row>
    <row r="13" spans="1:8" ht="12.75">
      <c r="A13" s="319"/>
      <c r="B13" s="316" t="s">
        <v>204</v>
      </c>
      <c r="C13" s="320"/>
      <c r="D13" s="320"/>
      <c r="E13" s="320"/>
      <c r="F13" s="320"/>
      <c r="G13" s="320"/>
      <c r="H13" s="321"/>
    </row>
    <row r="14" spans="1:8" ht="12.75">
      <c r="A14" s="319"/>
      <c r="B14" s="322" t="s">
        <v>205</v>
      </c>
      <c r="C14" s="323"/>
      <c r="D14" s="323"/>
      <c r="E14" s="323"/>
      <c r="F14" s="323"/>
      <c r="G14" s="323"/>
      <c r="H14" s="321"/>
    </row>
    <row r="15" spans="1:8" ht="12.75">
      <c r="A15" s="319"/>
      <c r="B15" s="322" t="s">
        <v>206</v>
      </c>
      <c r="C15" s="323"/>
      <c r="D15" s="323"/>
      <c r="E15" s="323"/>
      <c r="F15" s="323"/>
      <c r="G15" s="323"/>
      <c r="H15" s="321"/>
    </row>
    <row r="16" spans="1:8" ht="12.75">
      <c r="A16" s="319"/>
      <c r="B16" s="324" t="s">
        <v>207</v>
      </c>
      <c r="C16" s="320"/>
      <c r="D16" s="320"/>
      <c r="E16" s="320">
        <v>106</v>
      </c>
      <c r="F16" s="320">
        <v>106</v>
      </c>
      <c r="G16" s="320">
        <v>182</v>
      </c>
      <c r="H16" s="321">
        <f t="shared" si="0"/>
        <v>1.7169811320754718</v>
      </c>
    </row>
    <row r="17" spans="1:8" ht="12.75">
      <c r="A17" s="319"/>
      <c r="B17" s="324" t="s">
        <v>208</v>
      </c>
      <c r="C17" s="320"/>
      <c r="D17" s="320"/>
      <c r="E17" s="320"/>
      <c r="F17" s="320"/>
      <c r="G17" s="320"/>
      <c r="H17" s="321"/>
    </row>
    <row r="18" spans="1:8" ht="12.75">
      <c r="A18" s="319"/>
      <c r="B18" s="324" t="s">
        <v>209</v>
      </c>
      <c r="C18" s="320"/>
      <c r="D18" s="320"/>
      <c r="E18" s="320"/>
      <c r="F18" s="320"/>
      <c r="G18" s="320"/>
      <c r="H18" s="321"/>
    </row>
    <row r="19" spans="1:8" ht="12.75">
      <c r="A19" s="319"/>
      <c r="B19" s="325" t="s">
        <v>500</v>
      </c>
      <c r="C19" s="320"/>
      <c r="D19" s="320"/>
      <c r="E19" s="320"/>
      <c r="F19" s="320"/>
      <c r="G19" s="320"/>
      <c r="H19" s="321"/>
    </row>
    <row r="20" spans="1:8" ht="13.5" thickBot="1">
      <c r="A20" s="319"/>
      <c r="B20" s="326" t="s">
        <v>210</v>
      </c>
      <c r="C20" s="327"/>
      <c r="D20" s="327"/>
      <c r="E20" s="327"/>
      <c r="F20" s="327"/>
      <c r="G20" s="327">
        <v>13</v>
      </c>
      <c r="H20" s="736"/>
    </row>
    <row r="21" spans="1:8" ht="13.5" thickBot="1">
      <c r="A21" s="319"/>
      <c r="B21" s="328" t="s">
        <v>366</v>
      </c>
      <c r="C21" s="329"/>
      <c r="D21" s="638"/>
      <c r="E21" s="638">
        <f>SUM(E16:E20)</f>
        <v>106</v>
      </c>
      <c r="F21" s="638">
        <f>SUM(F16:F20)</f>
        <v>106</v>
      </c>
      <c r="G21" s="638">
        <f>SUM(G16:G20)</f>
        <v>195</v>
      </c>
      <c r="H21" s="832">
        <f t="shared" si="0"/>
        <v>1.8396226415094339</v>
      </c>
    </row>
    <row r="22" spans="1:8" ht="13.5" thickBot="1">
      <c r="A22" s="319"/>
      <c r="B22" s="147" t="s">
        <v>240</v>
      </c>
      <c r="C22" s="638"/>
      <c r="D22" s="638"/>
      <c r="E22" s="638"/>
      <c r="F22" s="327">
        <v>0</v>
      </c>
      <c r="G22" s="327">
        <v>0</v>
      </c>
      <c r="H22" s="831"/>
    </row>
    <row r="23" spans="1:8" ht="13.5" thickBot="1">
      <c r="A23" s="319"/>
      <c r="B23" s="587" t="s">
        <v>241</v>
      </c>
      <c r="C23" s="638"/>
      <c r="D23" s="638"/>
      <c r="E23" s="638"/>
      <c r="F23" s="638">
        <f>F22</f>
        <v>0</v>
      </c>
      <c r="G23" s="638">
        <f>G22</f>
        <v>0</v>
      </c>
      <c r="H23" s="831"/>
    </row>
    <row r="24" spans="1:8" ht="18.75" customHeight="1" thickBot="1">
      <c r="A24" s="330"/>
      <c r="B24" s="331" t="s">
        <v>72</v>
      </c>
      <c r="C24" s="639"/>
      <c r="D24" s="639"/>
      <c r="E24" s="639">
        <f>SUM(E21+E12)</f>
        <v>252</v>
      </c>
      <c r="F24" s="639">
        <f>SUM(F21+F12+F23)</f>
        <v>252</v>
      </c>
      <c r="G24" s="639">
        <f>SUM(G21+G12+G23)</f>
        <v>1656</v>
      </c>
      <c r="H24" s="1201">
        <f t="shared" si="0"/>
        <v>6.571428571428571</v>
      </c>
    </row>
    <row r="25" spans="1:8" ht="12" customHeight="1" thickBot="1">
      <c r="A25" s="330"/>
      <c r="B25" s="793" t="s">
        <v>514</v>
      </c>
      <c r="C25" s="795"/>
      <c r="D25" s="795"/>
      <c r="E25" s="795">
        <v>366</v>
      </c>
      <c r="F25" s="795">
        <v>366</v>
      </c>
      <c r="G25" s="795">
        <v>366</v>
      </c>
      <c r="H25" s="736">
        <f t="shared" si="0"/>
        <v>1</v>
      </c>
    </row>
    <row r="26" spans="1:8" ht="18.75" customHeight="1" thickBot="1">
      <c r="A26" s="319"/>
      <c r="B26" s="333" t="s">
        <v>73</v>
      </c>
      <c r="C26" s="796"/>
      <c r="D26" s="796"/>
      <c r="E26" s="796">
        <f>SUM(E25)</f>
        <v>366</v>
      </c>
      <c r="F26" s="796">
        <f>SUM(F25)</f>
        <v>366</v>
      </c>
      <c r="G26" s="796">
        <f>SUM(G25)</f>
        <v>366</v>
      </c>
      <c r="H26" s="1201">
        <f t="shared" si="0"/>
        <v>1</v>
      </c>
    </row>
    <row r="27" spans="1:8" ht="12.75" customHeight="1">
      <c r="A27" s="319"/>
      <c r="B27" s="785" t="s">
        <v>470</v>
      </c>
      <c r="C27" s="565"/>
      <c r="D27" s="565">
        <v>2721</v>
      </c>
      <c r="E27" s="565">
        <v>2721</v>
      </c>
      <c r="F27" s="565">
        <v>2721</v>
      </c>
      <c r="G27" s="565">
        <v>2721</v>
      </c>
      <c r="H27" s="321">
        <f t="shared" si="0"/>
        <v>1</v>
      </c>
    </row>
    <row r="28" spans="1:8" ht="13.5" thickBot="1">
      <c r="A28" s="319"/>
      <c r="B28" s="336" t="s">
        <v>507</v>
      </c>
      <c r="C28" s="798">
        <v>150073</v>
      </c>
      <c r="D28" s="798">
        <v>153356</v>
      </c>
      <c r="E28" s="798">
        <v>153396</v>
      </c>
      <c r="F28" s="798">
        <f>153396+10+534</f>
        <v>153940</v>
      </c>
      <c r="G28" s="798">
        <v>153950</v>
      </c>
      <c r="H28" s="736">
        <f t="shared" si="0"/>
        <v>1.0000649603741718</v>
      </c>
    </row>
    <row r="29" spans="1:8" ht="18.75" customHeight="1" thickBot="1">
      <c r="A29" s="319"/>
      <c r="B29" s="337" t="s">
        <v>66</v>
      </c>
      <c r="C29" s="799">
        <f>SUM(C27:C28)</f>
        <v>150073</v>
      </c>
      <c r="D29" s="799">
        <f>SUM(D27:D28)</f>
        <v>156077</v>
      </c>
      <c r="E29" s="799">
        <f>SUM(E27:E28)</f>
        <v>156117</v>
      </c>
      <c r="F29" s="799">
        <f>SUM(F27:F28)</f>
        <v>156661</v>
      </c>
      <c r="G29" s="799">
        <f>SUM(G27:G28)</f>
        <v>156671</v>
      </c>
      <c r="H29" s="1201">
        <f t="shared" si="0"/>
        <v>1.0000638320960544</v>
      </c>
    </row>
    <row r="30" spans="1:8" ht="12" customHeight="1" thickBot="1">
      <c r="A30" s="319"/>
      <c r="B30" s="249" t="s">
        <v>470</v>
      </c>
      <c r="C30" s="795"/>
      <c r="D30" s="795"/>
      <c r="E30" s="795"/>
      <c r="F30" s="795"/>
      <c r="G30" s="795"/>
      <c r="H30" s="831"/>
    </row>
    <row r="31" spans="1:8" ht="18.75" customHeight="1" thickBot="1">
      <c r="A31" s="319"/>
      <c r="B31" s="337" t="s">
        <v>68</v>
      </c>
      <c r="C31" s="799"/>
      <c r="D31" s="799"/>
      <c r="E31" s="799"/>
      <c r="F31" s="799"/>
      <c r="G31" s="799"/>
      <c r="H31" s="831"/>
    </row>
    <row r="32" spans="1:8" ht="15.75" thickBot="1">
      <c r="A32" s="338"/>
      <c r="B32" s="339" t="s">
        <v>80</v>
      </c>
      <c r="C32" s="800">
        <f>SUM(C24+C26+C29+C31)</f>
        <v>150073</v>
      </c>
      <c r="D32" s="800">
        <f>SUM(D24+D26+D29+D31)</f>
        <v>156077</v>
      </c>
      <c r="E32" s="800">
        <f>SUM(E24+E26+E29+E31)</f>
        <v>156735</v>
      </c>
      <c r="F32" s="800">
        <f>SUM(F24+F26+F29+F31)</f>
        <v>157279</v>
      </c>
      <c r="G32" s="800">
        <f>SUM(G24+G26+G29+G31)</f>
        <v>158693</v>
      </c>
      <c r="H32" s="832">
        <f t="shared" si="0"/>
        <v>1.0089903928687238</v>
      </c>
    </row>
    <row r="33" spans="1:8" ht="12.75">
      <c r="A33" s="314"/>
      <c r="B33" s="340" t="s">
        <v>344</v>
      </c>
      <c r="C33" s="564">
        <v>116850</v>
      </c>
      <c r="D33" s="564">
        <v>119490</v>
      </c>
      <c r="E33" s="564">
        <v>119523</v>
      </c>
      <c r="F33" s="564">
        <f>119523+8+447</f>
        <v>119978</v>
      </c>
      <c r="G33" s="564">
        <v>119986</v>
      </c>
      <c r="H33" s="321">
        <f t="shared" si="0"/>
        <v>1.00006667889113</v>
      </c>
    </row>
    <row r="34" spans="1:8" ht="12.75">
      <c r="A34" s="314"/>
      <c r="B34" s="340" t="s">
        <v>345</v>
      </c>
      <c r="C34" s="564">
        <v>25392</v>
      </c>
      <c r="D34" s="564">
        <v>25907</v>
      </c>
      <c r="E34" s="564">
        <v>25914</v>
      </c>
      <c r="F34" s="564">
        <f>25914+2+87</f>
        <v>26003</v>
      </c>
      <c r="G34" s="564">
        <v>26005</v>
      </c>
      <c r="H34" s="321">
        <f t="shared" si="0"/>
        <v>1.0000769142022075</v>
      </c>
    </row>
    <row r="35" spans="1:8" ht="12.75">
      <c r="A35" s="314"/>
      <c r="B35" s="340" t="s">
        <v>346</v>
      </c>
      <c r="C35" s="564">
        <v>5926</v>
      </c>
      <c r="D35" s="564">
        <v>8775</v>
      </c>
      <c r="E35" s="564">
        <v>9027</v>
      </c>
      <c r="F35" s="564">
        <f>9027-1139</f>
        <v>7888</v>
      </c>
      <c r="G35" s="564">
        <v>9281</v>
      </c>
      <c r="H35" s="321">
        <f t="shared" si="0"/>
        <v>1.1765973630831643</v>
      </c>
    </row>
    <row r="36" spans="1:8" ht="12.75">
      <c r="A36" s="314"/>
      <c r="B36" s="341" t="s">
        <v>348</v>
      </c>
      <c r="C36" s="564"/>
      <c r="D36" s="564"/>
      <c r="E36" s="564"/>
      <c r="F36" s="564"/>
      <c r="G36" s="564"/>
      <c r="H36" s="321"/>
    </row>
    <row r="37" spans="1:8" ht="13.5" thickBot="1">
      <c r="A37" s="314"/>
      <c r="B37" s="342" t="s">
        <v>347</v>
      </c>
      <c r="C37" s="801"/>
      <c r="D37" s="801"/>
      <c r="E37" s="801"/>
      <c r="F37" s="801">
        <v>39</v>
      </c>
      <c r="G37" s="801">
        <v>39</v>
      </c>
      <c r="H37" s="736">
        <f t="shared" si="0"/>
        <v>1</v>
      </c>
    </row>
    <row r="38" spans="1:8" ht="13.5" thickBot="1">
      <c r="A38" s="314"/>
      <c r="B38" s="343" t="s">
        <v>65</v>
      </c>
      <c r="C38" s="802">
        <f>SUM(C33:C37)</f>
        <v>148168</v>
      </c>
      <c r="D38" s="802">
        <f>SUM(D33:D37)</f>
        <v>154172</v>
      </c>
      <c r="E38" s="802">
        <f>SUM(E33:E37)</f>
        <v>154464</v>
      </c>
      <c r="F38" s="802">
        <f>SUM(F33:F37)</f>
        <v>153908</v>
      </c>
      <c r="G38" s="802">
        <f>SUM(G33:G37)</f>
        <v>155311</v>
      </c>
      <c r="H38" s="832">
        <f t="shared" si="0"/>
        <v>1.0091158354341554</v>
      </c>
    </row>
    <row r="39" spans="1:8" ht="12.75">
      <c r="A39" s="314"/>
      <c r="B39" s="340" t="s">
        <v>264</v>
      </c>
      <c r="C39" s="564">
        <v>1905</v>
      </c>
      <c r="D39" s="564">
        <v>1905</v>
      </c>
      <c r="E39" s="564">
        <v>2271</v>
      </c>
      <c r="F39" s="564">
        <f>2271+1100</f>
        <v>3371</v>
      </c>
      <c r="G39" s="564">
        <v>3382</v>
      </c>
      <c r="H39" s="321">
        <f t="shared" si="0"/>
        <v>1.0032631266686443</v>
      </c>
    </row>
    <row r="40" spans="1:8" ht="12.75">
      <c r="A40" s="314"/>
      <c r="B40" s="340" t="s">
        <v>265</v>
      </c>
      <c r="C40" s="564"/>
      <c r="D40" s="564"/>
      <c r="E40" s="564"/>
      <c r="F40" s="564"/>
      <c r="G40" s="564"/>
      <c r="H40" s="321"/>
    </row>
    <row r="41" spans="1:8" ht="13.5" thickBot="1">
      <c r="A41" s="314"/>
      <c r="B41" s="342" t="s">
        <v>479</v>
      </c>
      <c r="C41" s="801"/>
      <c r="D41" s="801"/>
      <c r="E41" s="801"/>
      <c r="F41" s="801"/>
      <c r="G41" s="801"/>
      <c r="H41" s="736"/>
    </row>
    <row r="42" spans="1:8" ht="13.5" thickBot="1">
      <c r="A42" s="314"/>
      <c r="B42" s="344" t="s">
        <v>71</v>
      </c>
      <c r="C42" s="802">
        <f>SUM(C39:C41)</f>
        <v>1905</v>
      </c>
      <c r="D42" s="802">
        <f>SUM(D39:D41)</f>
        <v>1905</v>
      </c>
      <c r="E42" s="802">
        <f>SUM(E39:E41)</f>
        <v>2271</v>
      </c>
      <c r="F42" s="802">
        <f>SUM(F39:F41)</f>
        <v>3371</v>
      </c>
      <c r="G42" s="802">
        <f>SUM(G39:G41)</f>
        <v>3382</v>
      </c>
      <c r="H42" s="832">
        <f t="shared" si="0"/>
        <v>1.0032631266686443</v>
      </c>
    </row>
    <row r="43" spans="1:10" ht="15.75" thickBot="1">
      <c r="A43" s="311"/>
      <c r="B43" s="345" t="s">
        <v>117</v>
      </c>
      <c r="C43" s="800">
        <f>SUM(C38+C42)</f>
        <v>150073</v>
      </c>
      <c r="D43" s="800">
        <f>SUM(D38+D42)</f>
        <v>156077</v>
      </c>
      <c r="E43" s="800">
        <f>SUM(E38+E42)</f>
        <v>156735</v>
      </c>
      <c r="F43" s="800">
        <f>SUM(F38+F42)</f>
        <v>157279</v>
      </c>
      <c r="G43" s="800">
        <f>SUM(G38+G42)</f>
        <v>158693</v>
      </c>
      <c r="H43" s="832">
        <f t="shared" si="0"/>
        <v>1.0089903928687238</v>
      </c>
      <c r="J43" s="829"/>
    </row>
    <row r="44" spans="1:8" ht="15">
      <c r="A44" s="225">
        <v>2309</v>
      </c>
      <c r="B44" s="346" t="s">
        <v>350</v>
      </c>
      <c r="C44" s="592"/>
      <c r="D44" s="592"/>
      <c r="E44" s="592"/>
      <c r="F44" s="592"/>
      <c r="G44" s="592"/>
      <c r="H44" s="321"/>
    </row>
    <row r="45" spans="1:8" ht="12" customHeight="1">
      <c r="A45" s="314"/>
      <c r="B45" s="316" t="s">
        <v>201</v>
      </c>
      <c r="C45" s="592"/>
      <c r="D45" s="592"/>
      <c r="E45" s="592"/>
      <c r="F45" s="592"/>
      <c r="G45" s="592"/>
      <c r="H45" s="321"/>
    </row>
    <row r="46" spans="1:8" ht="13.5" thickBot="1">
      <c r="A46" s="314"/>
      <c r="B46" s="317" t="s">
        <v>202</v>
      </c>
      <c r="C46" s="803"/>
      <c r="D46" s="803"/>
      <c r="E46" s="803">
        <v>130</v>
      </c>
      <c r="F46" s="803">
        <v>130</v>
      </c>
      <c r="G46" s="803">
        <v>831</v>
      </c>
      <c r="H46" s="736">
        <f t="shared" si="0"/>
        <v>6.392307692307693</v>
      </c>
    </row>
    <row r="47" spans="1:8" ht="13.5" thickBot="1">
      <c r="A47" s="314"/>
      <c r="B47" s="318" t="s">
        <v>203</v>
      </c>
      <c r="C47" s="804"/>
      <c r="D47" s="804"/>
      <c r="E47" s="804">
        <f>SUM(E46)</f>
        <v>130</v>
      </c>
      <c r="F47" s="804">
        <f>SUM(F46)</f>
        <v>130</v>
      </c>
      <c r="G47" s="804">
        <f>SUM(G46)</f>
        <v>831</v>
      </c>
      <c r="H47" s="832">
        <f t="shared" si="0"/>
        <v>6.392307692307693</v>
      </c>
    </row>
    <row r="48" spans="1:8" ht="12.75">
      <c r="A48" s="314"/>
      <c r="B48" s="316" t="s">
        <v>204</v>
      </c>
      <c r="C48" s="564"/>
      <c r="D48" s="564"/>
      <c r="E48" s="564"/>
      <c r="F48" s="564"/>
      <c r="G48" s="564"/>
      <c r="H48" s="321"/>
    </row>
    <row r="49" spans="1:8" ht="12.75">
      <c r="A49" s="314"/>
      <c r="B49" s="322" t="s">
        <v>205</v>
      </c>
      <c r="C49" s="805"/>
      <c r="D49" s="805"/>
      <c r="E49" s="805"/>
      <c r="F49" s="805"/>
      <c r="G49" s="805"/>
      <c r="H49" s="321"/>
    </row>
    <row r="50" spans="1:8" ht="12.75">
      <c r="A50" s="314"/>
      <c r="B50" s="322" t="s">
        <v>206</v>
      </c>
      <c r="C50" s="805"/>
      <c r="D50" s="805"/>
      <c r="E50" s="805"/>
      <c r="F50" s="805"/>
      <c r="G50" s="805"/>
      <c r="H50" s="321"/>
    </row>
    <row r="51" spans="1:8" ht="12.75">
      <c r="A51" s="314"/>
      <c r="B51" s="324" t="s">
        <v>207</v>
      </c>
      <c r="C51" s="564"/>
      <c r="D51" s="564"/>
      <c r="E51" s="564"/>
      <c r="F51" s="564"/>
      <c r="G51" s="564"/>
      <c r="H51" s="321"/>
    </row>
    <row r="52" spans="1:8" ht="12.75">
      <c r="A52" s="314"/>
      <c r="B52" s="324" t="s">
        <v>208</v>
      </c>
      <c r="C52" s="564"/>
      <c r="D52" s="564"/>
      <c r="E52" s="564"/>
      <c r="F52" s="564"/>
      <c r="G52" s="564"/>
      <c r="H52" s="321"/>
    </row>
    <row r="53" spans="1:8" ht="12.75">
      <c r="A53" s="314"/>
      <c r="B53" s="324" t="s">
        <v>209</v>
      </c>
      <c r="C53" s="564"/>
      <c r="D53" s="564"/>
      <c r="E53" s="564"/>
      <c r="F53" s="564"/>
      <c r="G53" s="564"/>
      <c r="H53" s="321"/>
    </row>
    <row r="54" spans="1:8" ht="12.75">
      <c r="A54" s="314"/>
      <c r="B54" s="324" t="s">
        <v>370</v>
      </c>
      <c r="C54" s="564"/>
      <c r="D54" s="564"/>
      <c r="E54" s="564"/>
      <c r="F54" s="564"/>
      <c r="G54" s="564"/>
      <c r="H54" s="321"/>
    </row>
    <row r="55" spans="1:8" ht="12.75">
      <c r="A55" s="314"/>
      <c r="B55" s="325" t="s">
        <v>500</v>
      </c>
      <c r="C55" s="564"/>
      <c r="D55" s="564"/>
      <c r="E55" s="564"/>
      <c r="F55" s="564"/>
      <c r="G55" s="564"/>
      <c r="H55" s="321"/>
    </row>
    <row r="56" spans="1:8" ht="13.5" thickBot="1">
      <c r="A56" s="314"/>
      <c r="B56" s="326" t="s">
        <v>210</v>
      </c>
      <c r="C56" s="801"/>
      <c r="D56" s="801"/>
      <c r="E56" s="801"/>
      <c r="F56" s="801"/>
      <c r="G56" s="801">
        <v>26</v>
      </c>
      <c r="H56" s="736"/>
    </row>
    <row r="57" spans="1:8" ht="13.5" thickBot="1">
      <c r="A57" s="314"/>
      <c r="B57" s="328" t="s">
        <v>366</v>
      </c>
      <c r="C57" s="806"/>
      <c r="D57" s="806"/>
      <c r="E57" s="806"/>
      <c r="F57" s="806"/>
      <c r="G57" s="806">
        <f>SUM(G56)</f>
        <v>26</v>
      </c>
      <c r="H57" s="831"/>
    </row>
    <row r="58" spans="1:8" ht="13.5" thickBot="1">
      <c r="A58" s="314"/>
      <c r="B58" s="147" t="s">
        <v>240</v>
      </c>
      <c r="C58" s="806"/>
      <c r="D58" s="806"/>
      <c r="E58" s="806"/>
      <c r="F58" s="806"/>
      <c r="G58" s="806"/>
      <c r="H58" s="831"/>
    </row>
    <row r="59" spans="1:8" ht="13.5" thickBot="1">
      <c r="A59" s="314"/>
      <c r="B59" s="587" t="s">
        <v>241</v>
      </c>
      <c r="C59" s="806"/>
      <c r="D59" s="806"/>
      <c r="E59" s="806"/>
      <c r="F59" s="806">
        <f>F58</f>
        <v>0</v>
      </c>
      <c r="G59" s="806">
        <f>G58</f>
        <v>0</v>
      </c>
      <c r="H59" s="831"/>
    </row>
    <row r="60" spans="1:8" ht="13.5" thickBot="1">
      <c r="A60" s="314"/>
      <c r="B60" s="331" t="s">
        <v>72</v>
      </c>
      <c r="C60" s="807"/>
      <c r="D60" s="807"/>
      <c r="E60" s="807">
        <f>SUM(E47)</f>
        <v>130</v>
      </c>
      <c r="F60" s="807">
        <f>SUM(F47+F59)</f>
        <v>130</v>
      </c>
      <c r="G60" s="807">
        <f>SUM(G47+G57)</f>
        <v>857</v>
      </c>
      <c r="H60" s="832">
        <f t="shared" si="0"/>
        <v>6.592307692307692</v>
      </c>
    </row>
    <row r="61" spans="1:8" ht="13.5" thickBot="1">
      <c r="A61" s="314"/>
      <c r="B61" s="793" t="s">
        <v>514</v>
      </c>
      <c r="C61" s="795"/>
      <c r="D61" s="795"/>
      <c r="E61" s="795">
        <v>366</v>
      </c>
      <c r="F61" s="795">
        <v>366</v>
      </c>
      <c r="G61" s="795">
        <v>366</v>
      </c>
      <c r="H61" s="831">
        <f t="shared" si="0"/>
        <v>1</v>
      </c>
    </row>
    <row r="62" spans="1:8" ht="13.5" thickBot="1">
      <c r="A62" s="314"/>
      <c r="B62" s="333" t="s">
        <v>73</v>
      </c>
      <c r="C62" s="796"/>
      <c r="D62" s="796"/>
      <c r="E62" s="796">
        <f>SUM(E61)</f>
        <v>366</v>
      </c>
      <c r="F62" s="796">
        <f>SUM(F61)</f>
        <v>366</v>
      </c>
      <c r="G62" s="796">
        <f>SUM(G61)</f>
        <v>366</v>
      </c>
      <c r="H62" s="832">
        <f t="shared" si="0"/>
        <v>1</v>
      </c>
    </row>
    <row r="63" spans="1:8" ht="12.75">
      <c r="A63" s="314"/>
      <c r="B63" s="785" t="s">
        <v>470</v>
      </c>
      <c r="C63" s="565"/>
      <c r="D63" s="565">
        <v>802</v>
      </c>
      <c r="E63" s="565">
        <v>802</v>
      </c>
      <c r="F63" s="565">
        <v>802</v>
      </c>
      <c r="G63" s="565">
        <v>802</v>
      </c>
      <c r="H63" s="321">
        <f t="shared" si="0"/>
        <v>1</v>
      </c>
    </row>
    <row r="64" spans="1:8" ht="13.5" thickBot="1">
      <c r="A64" s="314"/>
      <c r="B64" s="336" t="s">
        <v>507</v>
      </c>
      <c r="C64" s="801">
        <v>148133</v>
      </c>
      <c r="D64" s="801">
        <v>151831</v>
      </c>
      <c r="E64" s="801">
        <v>151888</v>
      </c>
      <c r="F64" s="801">
        <f>151888+14+616</f>
        <v>152518</v>
      </c>
      <c r="G64" s="801">
        <v>152534</v>
      </c>
      <c r="H64" s="736">
        <f t="shared" si="0"/>
        <v>1.0001049056504805</v>
      </c>
    </row>
    <row r="65" spans="1:8" ht="13.5" thickBot="1">
      <c r="A65" s="314"/>
      <c r="B65" s="337" t="s">
        <v>66</v>
      </c>
      <c r="C65" s="799">
        <f>SUM(C63:C64)</f>
        <v>148133</v>
      </c>
      <c r="D65" s="799">
        <f>SUM(D63:D64)</f>
        <v>152633</v>
      </c>
      <c r="E65" s="799">
        <f>SUM(E63:E64)</f>
        <v>152690</v>
      </c>
      <c r="F65" s="799">
        <f>SUM(F63:F64)</f>
        <v>153320</v>
      </c>
      <c r="G65" s="799">
        <f>SUM(G63:G64)</f>
        <v>153336</v>
      </c>
      <c r="H65" s="832">
        <f t="shared" si="0"/>
        <v>1.0001043569006</v>
      </c>
    </row>
    <row r="66" spans="1:8" ht="13.5" thickBot="1">
      <c r="A66" s="314"/>
      <c r="B66" s="249" t="s">
        <v>470</v>
      </c>
      <c r="C66" s="795"/>
      <c r="D66" s="812"/>
      <c r="E66" s="812"/>
      <c r="F66" s="812"/>
      <c r="G66" s="812"/>
      <c r="H66" s="831"/>
    </row>
    <row r="67" spans="1:8" ht="13.5" thickBot="1">
      <c r="A67" s="314"/>
      <c r="B67" s="337" t="s">
        <v>68</v>
      </c>
      <c r="C67" s="799"/>
      <c r="D67" s="799"/>
      <c r="E67" s="799"/>
      <c r="F67" s="799"/>
      <c r="G67" s="799"/>
      <c r="H67" s="831"/>
    </row>
    <row r="68" spans="1:8" ht="15.75" thickBot="1">
      <c r="A68" s="314"/>
      <c r="B68" s="339" t="s">
        <v>80</v>
      </c>
      <c r="C68" s="800">
        <f>SUM(C60+C62+C65+C67)</f>
        <v>148133</v>
      </c>
      <c r="D68" s="800">
        <f>SUM(D60+D62+D65+D67)</f>
        <v>152633</v>
      </c>
      <c r="E68" s="800">
        <f>SUM(E60+E62+E65+E67)</f>
        <v>153186</v>
      </c>
      <c r="F68" s="800">
        <f>SUM(F60+F62+F65+F67)</f>
        <v>153816</v>
      </c>
      <c r="G68" s="800">
        <f>SUM(G60+G62+G65+G67)</f>
        <v>154559</v>
      </c>
      <c r="H68" s="832">
        <f t="shared" si="0"/>
        <v>1.0048304467675664</v>
      </c>
    </row>
    <row r="69" spans="1:8" ht="12.75">
      <c r="A69" s="314"/>
      <c r="B69" s="340" t="s">
        <v>344</v>
      </c>
      <c r="C69" s="564">
        <v>115500</v>
      </c>
      <c r="D69" s="564">
        <v>118484</v>
      </c>
      <c r="E69" s="564">
        <v>118532</v>
      </c>
      <c r="F69" s="564">
        <f>118532+12+515</f>
        <v>119059</v>
      </c>
      <c r="G69" s="564">
        <v>119072</v>
      </c>
      <c r="H69" s="321">
        <f t="shared" si="0"/>
        <v>1.000109189561478</v>
      </c>
    </row>
    <row r="70" spans="1:8" ht="12.75">
      <c r="A70" s="314"/>
      <c r="B70" s="340" t="s">
        <v>345</v>
      </c>
      <c r="C70" s="564">
        <v>25335</v>
      </c>
      <c r="D70" s="564">
        <v>25921</v>
      </c>
      <c r="E70" s="564">
        <v>25930</v>
      </c>
      <c r="F70" s="564">
        <f>25930+2+101</f>
        <v>26033</v>
      </c>
      <c r="G70" s="564">
        <v>26036</v>
      </c>
      <c r="H70" s="321">
        <f t="shared" si="0"/>
        <v>1.0001152383513232</v>
      </c>
    </row>
    <row r="71" spans="1:8" ht="12.75">
      <c r="A71" s="314"/>
      <c r="B71" s="340" t="s">
        <v>346</v>
      </c>
      <c r="C71" s="564">
        <v>6282</v>
      </c>
      <c r="D71" s="564">
        <v>7212</v>
      </c>
      <c r="E71" s="564">
        <v>7339</v>
      </c>
      <c r="F71" s="564">
        <f>7339-950</f>
        <v>6389</v>
      </c>
      <c r="G71" s="564">
        <v>7116</v>
      </c>
      <c r="H71" s="321">
        <f t="shared" si="0"/>
        <v>1.1137893254030364</v>
      </c>
    </row>
    <row r="72" spans="1:8" ht="12.75">
      <c r="A72" s="314"/>
      <c r="B72" s="341" t="s">
        <v>348</v>
      </c>
      <c r="C72" s="564"/>
      <c r="D72" s="564"/>
      <c r="E72" s="564"/>
      <c r="F72" s="564"/>
      <c r="G72" s="564"/>
      <c r="H72" s="321"/>
    </row>
    <row r="73" spans="1:8" ht="13.5" thickBot="1">
      <c r="A73" s="314"/>
      <c r="B73" s="342" t="s">
        <v>347</v>
      </c>
      <c r="C73" s="801"/>
      <c r="D73" s="801"/>
      <c r="E73" s="801">
        <v>3</v>
      </c>
      <c r="F73" s="801">
        <v>3</v>
      </c>
      <c r="G73" s="801">
        <v>3</v>
      </c>
      <c r="H73" s="736">
        <f t="shared" si="0"/>
        <v>1</v>
      </c>
    </row>
    <row r="74" spans="1:8" ht="13.5" thickBot="1">
      <c r="A74" s="314"/>
      <c r="B74" s="343" t="s">
        <v>65</v>
      </c>
      <c r="C74" s="806">
        <f>SUM(C69:C73)</f>
        <v>147117</v>
      </c>
      <c r="D74" s="806">
        <f>SUM(D69:D73)</f>
        <v>151617</v>
      </c>
      <c r="E74" s="806">
        <f>SUM(E69:E73)</f>
        <v>151804</v>
      </c>
      <c r="F74" s="806">
        <f>SUM(F69:F73)</f>
        <v>151484</v>
      </c>
      <c r="G74" s="806">
        <f>SUM(G69:G73)</f>
        <v>152227</v>
      </c>
      <c r="H74" s="832">
        <f t="shared" si="0"/>
        <v>1.004904808428613</v>
      </c>
    </row>
    <row r="75" spans="1:8" ht="12.75">
      <c r="A75" s="314"/>
      <c r="B75" s="340" t="s">
        <v>264</v>
      </c>
      <c r="C75" s="564">
        <v>1016</v>
      </c>
      <c r="D75" s="564">
        <v>1016</v>
      </c>
      <c r="E75" s="564">
        <v>1382</v>
      </c>
      <c r="F75" s="564">
        <f>1382+950</f>
        <v>2332</v>
      </c>
      <c r="G75" s="564">
        <f>1382+950</f>
        <v>2332</v>
      </c>
      <c r="H75" s="321">
        <f t="shared" si="0"/>
        <v>1</v>
      </c>
    </row>
    <row r="76" spans="1:8" ht="12.75">
      <c r="A76" s="314"/>
      <c r="B76" s="340" t="s">
        <v>265</v>
      </c>
      <c r="C76" s="564"/>
      <c r="D76" s="564"/>
      <c r="E76" s="564"/>
      <c r="F76" s="564"/>
      <c r="G76" s="564"/>
      <c r="H76" s="321"/>
    </row>
    <row r="77" spans="1:8" ht="13.5" thickBot="1">
      <c r="A77" s="314"/>
      <c r="B77" s="342" t="s">
        <v>479</v>
      </c>
      <c r="C77" s="801"/>
      <c r="D77" s="801"/>
      <c r="E77" s="801"/>
      <c r="F77" s="801"/>
      <c r="G77" s="801"/>
      <c r="H77" s="736"/>
    </row>
    <row r="78" spans="1:8" ht="13.5" thickBot="1">
      <c r="A78" s="314"/>
      <c r="B78" s="344" t="s">
        <v>71</v>
      </c>
      <c r="C78" s="806">
        <f>SUM(C75:C77)</f>
        <v>1016</v>
      </c>
      <c r="D78" s="806">
        <f>SUM(D75:D77)</f>
        <v>1016</v>
      </c>
      <c r="E78" s="806">
        <f>SUM(E75:E77)</f>
        <v>1382</v>
      </c>
      <c r="F78" s="806">
        <f>SUM(F75:F77)</f>
        <v>2332</v>
      </c>
      <c r="G78" s="806">
        <f>SUM(G75:G77)</f>
        <v>2332</v>
      </c>
      <c r="H78" s="832">
        <f>SUM(G78/F78)</f>
        <v>1</v>
      </c>
    </row>
    <row r="79" spans="1:10" ht="15.75" thickBot="1">
      <c r="A79" s="311"/>
      <c r="B79" s="345" t="s">
        <v>117</v>
      </c>
      <c r="C79" s="800">
        <f>SUM(C74+C78)</f>
        <v>148133</v>
      </c>
      <c r="D79" s="800">
        <f>SUM(D74+D78)</f>
        <v>152633</v>
      </c>
      <c r="E79" s="800">
        <f>SUM(E74+E78)</f>
        <v>153186</v>
      </c>
      <c r="F79" s="800">
        <f>SUM(F74+F78)</f>
        <v>153816</v>
      </c>
      <c r="G79" s="800">
        <f>SUM(G74+G78)</f>
        <v>154559</v>
      </c>
      <c r="H79" s="832">
        <f>SUM(G79/F79)</f>
        <v>1.0048304467675664</v>
      </c>
      <c r="J79" s="829"/>
    </row>
    <row r="80" spans="1:8" ht="15">
      <c r="A80" s="225">
        <v>2310</v>
      </c>
      <c r="B80" s="346" t="s">
        <v>351</v>
      </c>
      <c r="C80" s="564"/>
      <c r="D80" s="564"/>
      <c r="E80" s="564"/>
      <c r="F80" s="564"/>
      <c r="G80" s="564"/>
      <c r="H80" s="321"/>
    </row>
    <row r="81" spans="1:8" ht="12" customHeight="1">
      <c r="A81" s="314"/>
      <c r="B81" s="316" t="s">
        <v>201</v>
      </c>
      <c r="C81" s="592"/>
      <c r="D81" s="592"/>
      <c r="E81" s="592"/>
      <c r="F81" s="592"/>
      <c r="G81" s="592"/>
      <c r="H81" s="321"/>
    </row>
    <row r="82" spans="1:8" ht="13.5" thickBot="1">
      <c r="A82" s="314"/>
      <c r="B82" s="317" t="s">
        <v>202</v>
      </c>
      <c r="C82" s="803"/>
      <c r="D82" s="803"/>
      <c r="E82" s="803">
        <v>145</v>
      </c>
      <c r="F82" s="803">
        <v>145</v>
      </c>
      <c r="G82" s="803">
        <v>1049</v>
      </c>
      <c r="H82" s="736">
        <f>SUM(G82/F82)</f>
        <v>7.23448275862069</v>
      </c>
    </row>
    <row r="83" spans="1:8" ht="13.5" thickBot="1">
      <c r="A83" s="314"/>
      <c r="B83" s="318" t="s">
        <v>203</v>
      </c>
      <c r="C83" s="804"/>
      <c r="D83" s="804"/>
      <c r="E83" s="804">
        <f>SUM(E82)</f>
        <v>145</v>
      </c>
      <c r="F83" s="804">
        <f>SUM(F82)</f>
        <v>145</v>
      </c>
      <c r="G83" s="804">
        <f>SUM(G82)</f>
        <v>1049</v>
      </c>
      <c r="H83" s="832">
        <f>SUM(G83/F83)</f>
        <v>7.23448275862069</v>
      </c>
    </row>
    <row r="84" spans="1:8" ht="12.75">
      <c r="A84" s="314"/>
      <c r="B84" s="316" t="s">
        <v>204</v>
      </c>
      <c r="C84" s="564"/>
      <c r="D84" s="564"/>
      <c r="E84" s="564"/>
      <c r="F84" s="564"/>
      <c r="G84" s="564">
        <f>SUM(G85)</f>
        <v>325</v>
      </c>
      <c r="H84" s="321"/>
    </row>
    <row r="85" spans="1:8" ht="12.75">
      <c r="A85" s="314"/>
      <c r="B85" s="322" t="s">
        <v>205</v>
      </c>
      <c r="C85" s="805"/>
      <c r="D85" s="805"/>
      <c r="E85" s="805"/>
      <c r="F85" s="805"/>
      <c r="G85" s="805">
        <v>325</v>
      </c>
      <c r="H85" s="321"/>
    </row>
    <row r="86" spans="1:8" ht="12.75">
      <c r="A86" s="314"/>
      <c r="B86" s="322" t="s">
        <v>206</v>
      </c>
      <c r="C86" s="805"/>
      <c r="D86" s="805"/>
      <c r="E86" s="805"/>
      <c r="F86" s="805"/>
      <c r="G86" s="805"/>
      <c r="H86" s="321"/>
    </row>
    <row r="87" spans="1:8" ht="12.75">
      <c r="A87" s="314"/>
      <c r="B87" s="324" t="s">
        <v>207</v>
      </c>
      <c r="C87" s="564"/>
      <c r="D87" s="564"/>
      <c r="E87" s="564"/>
      <c r="F87" s="564"/>
      <c r="G87" s="564"/>
      <c r="H87" s="321"/>
    </row>
    <row r="88" spans="1:8" ht="12.75">
      <c r="A88" s="314"/>
      <c r="B88" s="324" t="s">
        <v>208</v>
      </c>
      <c r="C88" s="564"/>
      <c r="D88" s="564"/>
      <c r="E88" s="564"/>
      <c r="F88" s="564"/>
      <c r="G88" s="564"/>
      <c r="H88" s="321"/>
    </row>
    <row r="89" spans="1:8" ht="12.75">
      <c r="A89" s="314"/>
      <c r="B89" s="324" t="s">
        <v>209</v>
      </c>
      <c r="C89" s="564"/>
      <c r="D89" s="564"/>
      <c r="E89" s="564"/>
      <c r="F89" s="564"/>
      <c r="G89" s="564"/>
      <c r="H89" s="321"/>
    </row>
    <row r="90" spans="1:8" ht="12.75">
      <c r="A90" s="314"/>
      <c r="B90" s="325" t="s">
        <v>500</v>
      </c>
      <c r="C90" s="564"/>
      <c r="D90" s="564"/>
      <c r="E90" s="564"/>
      <c r="F90" s="564"/>
      <c r="G90" s="564"/>
      <c r="H90" s="321"/>
    </row>
    <row r="91" spans="1:8" ht="13.5" thickBot="1">
      <c r="A91" s="314"/>
      <c r="B91" s="326" t="s">
        <v>210</v>
      </c>
      <c r="C91" s="801"/>
      <c r="D91" s="801"/>
      <c r="E91" s="801"/>
      <c r="F91" s="801"/>
      <c r="G91" s="801">
        <v>13</v>
      </c>
      <c r="H91" s="736"/>
    </row>
    <row r="92" spans="1:8" ht="13.5" thickBot="1">
      <c r="A92" s="314"/>
      <c r="B92" s="328" t="s">
        <v>366</v>
      </c>
      <c r="C92" s="806"/>
      <c r="D92" s="806"/>
      <c r="E92" s="806"/>
      <c r="F92" s="806"/>
      <c r="G92" s="806">
        <f>SUM(G91+G84)</f>
        <v>338</v>
      </c>
      <c r="H92" s="831"/>
    </row>
    <row r="93" spans="1:8" ht="13.5" thickBot="1">
      <c r="A93" s="314"/>
      <c r="B93" s="147" t="s">
        <v>240</v>
      </c>
      <c r="C93" s="806"/>
      <c r="D93" s="806"/>
      <c r="E93" s="806"/>
      <c r="F93" s="806"/>
      <c r="G93" s="806"/>
      <c r="H93" s="831"/>
    </row>
    <row r="94" spans="1:8" ht="13.5" thickBot="1">
      <c r="A94" s="314"/>
      <c r="B94" s="587" t="s">
        <v>241</v>
      </c>
      <c r="C94" s="806"/>
      <c r="D94" s="806"/>
      <c r="E94" s="806"/>
      <c r="F94" s="806">
        <f>F93</f>
        <v>0</v>
      </c>
      <c r="G94" s="806">
        <f>G93</f>
        <v>0</v>
      </c>
      <c r="H94" s="831"/>
    </row>
    <row r="95" spans="1:8" ht="13.5" thickBot="1">
      <c r="A95" s="314"/>
      <c r="B95" s="331" t="s">
        <v>72</v>
      </c>
      <c r="C95" s="808"/>
      <c r="D95" s="808"/>
      <c r="E95" s="808">
        <f>SUM(E83)</f>
        <v>145</v>
      </c>
      <c r="F95" s="808">
        <f>SUM(F83+F94)</f>
        <v>145</v>
      </c>
      <c r="G95" s="808">
        <f>SUM(G83+G94+G92)</f>
        <v>1387</v>
      </c>
      <c r="H95" s="832">
        <f aca="true" t="shared" si="1" ref="H95:H100">SUM(G95/F95)</f>
        <v>9.565517241379311</v>
      </c>
    </row>
    <row r="96" spans="1:8" ht="13.5" thickBot="1">
      <c r="A96" s="314"/>
      <c r="B96" s="793" t="s">
        <v>514</v>
      </c>
      <c r="C96" s="795"/>
      <c r="D96" s="795"/>
      <c r="E96" s="795">
        <v>58</v>
      </c>
      <c r="F96" s="795">
        <v>58</v>
      </c>
      <c r="G96" s="795">
        <v>58</v>
      </c>
      <c r="H96" s="831">
        <f t="shared" si="1"/>
        <v>1</v>
      </c>
    </row>
    <row r="97" spans="1:8" ht="13.5" thickBot="1">
      <c r="A97" s="314"/>
      <c r="B97" s="333" t="s">
        <v>73</v>
      </c>
      <c r="C97" s="796"/>
      <c r="D97" s="796"/>
      <c r="E97" s="796">
        <f>SUM(E96)</f>
        <v>58</v>
      </c>
      <c r="F97" s="796">
        <f>SUM(F96)</f>
        <v>58</v>
      </c>
      <c r="G97" s="796">
        <f>SUM(G96)</f>
        <v>58</v>
      </c>
      <c r="H97" s="832">
        <f t="shared" si="1"/>
        <v>1</v>
      </c>
    </row>
    <row r="98" spans="1:8" ht="12.75">
      <c r="A98" s="314"/>
      <c r="B98" s="785" t="s">
        <v>470</v>
      </c>
      <c r="C98" s="565"/>
      <c r="D98" s="565">
        <v>553</v>
      </c>
      <c r="E98" s="565">
        <v>553</v>
      </c>
      <c r="F98" s="565">
        <v>553</v>
      </c>
      <c r="G98" s="565">
        <v>553</v>
      </c>
      <c r="H98" s="321">
        <f t="shared" si="1"/>
        <v>1</v>
      </c>
    </row>
    <row r="99" spans="1:8" ht="13.5" thickBot="1">
      <c r="A99" s="314"/>
      <c r="B99" s="336" t="s">
        <v>507</v>
      </c>
      <c r="C99" s="801">
        <v>75651</v>
      </c>
      <c r="D99" s="801">
        <v>79111</v>
      </c>
      <c r="E99" s="801">
        <v>79111</v>
      </c>
      <c r="F99" s="801">
        <f>79111+481</f>
        <v>79592</v>
      </c>
      <c r="G99" s="801">
        <f>79111+481</f>
        <v>79592</v>
      </c>
      <c r="H99" s="736">
        <f t="shared" si="1"/>
        <v>1</v>
      </c>
    </row>
    <row r="100" spans="1:8" ht="13.5" thickBot="1">
      <c r="A100" s="314"/>
      <c r="B100" s="337" t="s">
        <v>66</v>
      </c>
      <c r="C100" s="799">
        <f>SUM(C98:C99)</f>
        <v>75651</v>
      </c>
      <c r="D100" s="799">
        <f>SUM(D98:D99)</f>
        <v>79664</v>
      </c>
      <c r="E100" s="799">
        <f>SUM(E98:E99)</f>
        <v>79664</v>
      </c>
      <c r="F100" s="799">
        <f>SUM(F98:F99)</f>
        <v>80145</v>
      </c>
      <c r="G100" s="799">
        <f>SUM(G98:G99)</f>
        <v>80145</v>
      </c>
      <c r="H100" s="832">
        <f t="shared" si="1"/>
        <v>1</v>
      </c>
    </row>
    <row r="101" spans="1:8" ht="13.5" thickBot="1">
      <c r="A101" s="314"/>
      <c r="B101" s="249" t="s">
        <v>470</v>
      </c>
      <c r="C101" s="795"/>
      <c r="D101" s="795"/>
      <c r="E101" s="795"/>
      <c r="F101" s="795"/>
      <c r="G101" s="795"/>
      <c r="H101" s="831"/>
    </row>
    <row r="102" spans="1:8" ht="13.5" thickBot="1">
      <c r="A102" s="314"/>
      <c r="B102" s="337" t="s">
        <v>68</v>
      </c>
      <c r="C102" s="799"/>
      <c r="D102" s="799"/>
      <c r="E102" s="799"/>
      <c r="F102" s="799"/>
      <c r="G102" s="799"/>
      <c r="H102" s="831"/>
    </row>
    <row r="103" spans="1:8" ht="15.75" thickBot="1">
      <c r="A103" s="314"/>
      <c r="B103" s="339" t="s">
        <v>80</v>
      </c>
      <c r="C103" s="800">
        <f>SUM(C95+C97+C100+C102)</f>
        <v>75651</v>
      </c>
      <c r="D103" s="800">
        <f>SUM(D95+D97+D100+D102)</f>
        <v>79664</v>
      </c>
      <c r="E103" s="800">
        <f>SUM(E95+E97+E100+E102)</f>
        <v>79867</v>
      </c>
      <c r="F103" s="800">
        <f>SUM(F95+F97+F100+F102)</f>
        <v>80348</v>
      </c>
      <c r="G103" s="800">
        <f>SUM(G95+G97+G100+G102)</f>
        <v>81590</v>
      </c>
      <c r="H103" s="832">
        <f>SUM(G103/F103)</f>
        <v>1.01545775874944</v>
      </c>
    </row>
    <row r="104" spans="1:9" ht="12.75">
      <c r="A104" s="314"/>
      <c r="B104" s="340" t="s">
        <v>344</v>
      </c>
      <c r="C104" s="564">
        <v>59683</v>
      </c>
      <c r="D104" s="564">
        <v>62471</v>
      </c>
      <c r="E104" s="564">
        <v>62471</v>
      </c>
      <c r="F104" s="564">
        <f>62471+403</f>
        <v>62874</v>
      </c>
      <c r="G104" s="564">
        <f>62471+403</f>
        <v>62874</v>
      </c>
      <c r="H104" s="321">
        <f>SUM(G104/F104)</f>
        <v>1</v>
      </c>
      <c r="I104" s="829"/>
    </row>
    <row r="105" spans="1:8" ht="12.75">
      <c r="A105" s="314"/>
      <c r="B105" s="340" t="s">
        <v>345</v>
      </c>
      <c r="C105" s="564">
        <v>12114</v>
      </c>
      <c r="D105" s="564">
        <v>12658</v>
      </c>
      <c r="E105" s="564">
        <v>12658</v>
      </c>
      <c r="F105" s="564">
        <f>12658+78</f>
        <v>12736</v>
      </c>
      <c r="G105" s="564">
        <f>12658+78</f>
        <v>12736</v>
      </c>
      <c r="H105" s="321">
        <f>SUM(G105/F105)</f>
        <v>1</v>
      </c>
    </row>
    <row r="106" spans="1:8" ht="12.75">
      <c r="A106" s="314"/>
      <c r="B106" s="340" t="s">
        <v>346</v>
      </c>
      <c r="C106" s="564">
        <v>2679</v>
      </c>
      <c r="D106" s="564">
        <v>3360</v>
      </c>
      <c r="E106" s="564">
        <v>3505</v>
      </c>
      <c r="F106" s="564">
        <f>3505-500</f>
        <v>3005</v>
      </c>
      <c r="G106" s="564">
        <v>4247</v>
      </c>
      <c r="H106" s="321">
        <f>SUM(G106/F106)</f>
        <v>1.4133111480865224</v>
      </c>
    </row>
    <row r="107" spans="1:8" ht="12.75">
      <c r="A107" s="314"/>
      <c r="B107" s="341" t="s">
        <v>348</v>
      </c>
      <c r="C107" s="564"/>
      <c r="D107" s="564"/>
      <c r="E107" s="564"/>
      <c r="F107" s="564"/>
      <c r="G107" s="564"/>
      <c r="H107" s="321"/>
    </row>
    <row r="108" spans="1:8" ht="13.5" thickBot="1">
      <c r="A108" s="314"/>
      <c r="B108" s="342" t="s">
        <v>347</v>
      </c>
      <c r="C108" s="801"/>
      <c r="D108" s="801"/>
      <c r="E108" s="801"/>
      <c r="F108" s="801"/>
      <c r="G108" s="801"/>
      <c r="H108" s="736"/>
    </row>
    <row r="109" spans="1:8" ht="13.5" thickBot="1">
      <c r="A109" s="314"/>
      <c r="B109" s="343" t="s">
        <v>65</v>
      </c>
      <c r="C109" s="806">
        <f>SUM(C104:C108)</f>
        <v>74476</v>
      </c>
      <c r="D109" s="806">
        <f>SUM(D104:D108)</f>
        <v>78489</v>
      </c>
      <c r="E109" s="806">
        <f>SUM(E104:E108)</f>
        <v>78634</v>
      </c>
      <c r="F109" s="806">
        <f>SUM(F104:F108)</f>
        <v>78615</v>
      </c>
      <c r="G109" s="806">
        <f>SUM(G104:G108)</f>
        <v>79857</v>
      </c>
      <c r="H109" s="832">
        <f>SUM(G109/F109)</f>
        <v>1.0157985117344017</v>
      </c>
    </row>
    <row r="110" spans="1:8" ht="12.75">
      <c r="A110" s="314"/>
      <c r="B110" s="340" t="s">
        <v>264</v>
      </c>
      <c r="C110" s="818">
        <v>1175</v>
      </c>
      <c r="D110" s="564">
        <v>1175</v>
      </c>
      <c r="E110" s="564">
        <v>1233</v>
      </c>
      <c r="F110" s="564">
        <f>1233+500</f>
        <v>1733</v>
      </c>
      <c r="G110" s="564">
        <f>1233+500</f>
        <v>1733</v>
      </c>
      <c r="H110" s="321">
        <f>SUM(G110/F110)</f>
        <v>1</v>
      </c>
    </row>
    <row r="111" spans="1:8" ht="12.75">
      <c r="A111" s="314"/>
      <c r="B111" s="340" t="s">
        <v>265</v>
      </c>
      <c r="C111" s="564"/>
      <c r="D111" s="564"/>
      <c r="E111" s="564"/>
      <c r="F111" s="564"/>
      <c r="G111" s="564"/>
      <c r="H111" s="321"/>
    </row>
    <row r="112" spans="1:8" ht="13.5" thickBot="1">
      <c r="A112" s="314"/>
      <c r="B112" s="342" t="s">
        <v>479</v>
      </c>
      <c r="C112" s="801"/>
      <c r="D112" s="801"/>
      <c r="E112" s="801"/>
      <c r="F112" s="801"/>
      <c r="G112" s="801"/>
      <c r="H112" s="736"/>
    </row>
    <row r="113" spans="1:8" ht="13.5" thickBot="1">
      <c r="A113" s="314"/>
      <c r="B113" s="344" t="s">
        <v>71</v>
      </c>
      <c r="C113" s="806">
        <f>SUM(C110:C112)</f>
        <v>1175</v>
      </c>
      <c r="D113" s="806">
        <f>SUM(D110:D112)</f>
        <v>1175</v>
      </c>
      <c r="E113" s="806">
        <f>SUM(E110:E112)</f>
        <v>1233</v>
      </c>
      <c r="F113" s="806">
        <f>SUM(F110:F112)</f>
        <v>1733</v>
      </c>
      <c r="G113" s="806">
        <f>SUM(G110:G112)</f>
        <v>1733</v>
      </c>
      <c r="H113" s="832">
        <f>SUM(G113/F113)</f>
        <v>1</v>
      </c>
    </row>
    <row r="114" spans="1:10" ht="15.75" thickBot="1">
      <c r="A114" s="311"/>
      <c r="B114" s="345" t="s">
        <v>117</v>
      </c>
      <c r="C114" s="800">
        <f>SUM(C109+C113)</f>
        <v>75651</v>
      </c>
      <c r="D114" s="800">
        <f>SUM(D109+D113)</f>
        <v>79664</v>
      </c>
      <c r="E114" s="800">
        <f>SUM(E109+E113)</f>
        <v>79867</v>
      </c>
      <c r="F114" s="800">
        <f>SUM(F109+F113)</f>
        <v>80348</v>
      </c>
      <c r="G114" s="800">
        <f>SUM(G109+G113)</f>
        <v>81590</v>
      </c>
      <c r="H114" s="832">
        <f>SUM(G114/F114)</f>
        <v>1.01545775874944</v>
      </c>
      <c r="J114" s="829"/>
    </row>
    <row r="115" spans="1:8" ht="15">
      <c r="A115" s="226">
        <v>2315</v>
      </c>
      <c r="B115" s="229" t="s">
        <v>214</v>
      </c>
      <c r="C115" s="564"/>
      <c r="D115" s="564"/>
      <c r="E115" s="564"/>
      <c r="F115" s="564"/>
      <c r="G115" s="564"/>
      <c r="H115" s="321"/>
    </row>
    <row r="116" spans="1:8" ht="12" customHeight="1">
      <c r="A116" s="314"/>
      <c r="B116" s="316" t="s">
        <v>201</v>
      </c>
      <c r="C116" s="592"/>
      <c r="D116" s="592"/>
      <c r="E116" s="592"/>
      <c r="F116" s="592"/>
      <c r="G116" s="592"/>
      <c r="H116" s="321"/>
    </row>
    <row r="117" spans="1:8" ht="13.5" thickBot="1">
      <c r="A117" s="314"/>
      <c r="B117" s="317" t="s">
        <v>202</v>
      </c>
      <c r="C117" s="803"/>
      <c r="D117" s="803"/>
      <c r="E117" s="803">
        <v>543</v>
      </c>
      <c r="F117" s="803">
        <v>543</v>
      </c>
      <c r="G117" s="803">
        <v>2161</v>
      </c>
      <c r="H117" s="736">
        <f>SUM(G117/F117)</f>
        <v>3.979742173112339</v>
      </c>
    </row>
    <row r="118" spans="1:8" ht="13.5" thickBot="1">
      <c r="A118" s="314"/>
      <c r="B118" s="318" t="s">
        <v>203</v>
      </c>
      <c r="C118" s="804"/>
      <c r="D118" s="804"/>
      <c r="E118" s="804">
        <f>SUM(E117)</f>
        <v>543</v>
      </c>
      <c r="F118" s="804">
        <f>SUM(F117)</f>
        <v>543</v>
      </c>
      <c r="G118" s="804">
        <f>SUM(G117)</f>
        <v>2161</v>
      </c>
      <c r="H118" s="832">
        <f>SUM(G118/F118)</f>
        <v>3.979742173112339</v>
      </c>
    </row>
    <row r="119" spans="1:8" ht="12.75">
      <c r="A119" s="314"/>
      <c r="B119" s="316" t="s">
        <v>204</v>
      </c>
      <c r="C119" s="564"/>
      <c r="D119" s="564"/>
      <c r="E119" s="564"/>
      <c r="F119" s="564"/>
      <c r="G119" s="564"/>
      <c r="H119" s="321"/>
    </row>
    <row r="120" spans="1:8" ht="12.75">
      <c r="A120" s="314"/>
      <c r="B120" s="322" t="s">
        <v>205</v>
      </c>
      <c r="C120" s="805"/>
      <c r="D120" s="805"/>
      <c r="E120" s="805"/>
      <c r="F120" s="805"/>
      <c r="G120" s="805"/>
      <c r="H120" s="321"/>
    </row>
    <row r="121" spans="1:8" ht="12.75">
      <c r="A121" s="314"/>
      <c r="B121" s="322" t="s">
        <v>206</v>
      </c>
      <c r="C121" s="805"/>
      <c r="D121" s="805"/>
      <c r="E121" s="805"/>
      <c r="F121" s="805"/>
      <c r="G121" s="805"/>
      <c r="H121" s="321"/>
    </row>
    <row r="122" spans="1:8" ht="12.75">
      <c r="A122" s="314"/>
      <c r="B122" s="324" t="s">
        <v>207</v>
      </c>
      <c r="C122" s="564"/>
      <c r="D122" s="564"/>
      <c r="E122" s="564"/>
      <c r="F122" s="564"/>
      <c r="G122" s="564"/>
      <c r="H122" s="321"/>
    </row>
    <row r="123" spans="1:8" ht="12.75">
      <c r="A123" s="314"/>
      <c r="B123" s="324" t="s">
        <v>208</v>
      </c>
      <c r="C123" s="564"/>
      <c r="D123" s="564"/>
      <c r="E123" s="564"/>
      <c r="F123" s="564"/>
      <c r="G123" s="564"/>
      <c r="H123" s="321"/>
    </row>
    <row r="124" spans="1:8" ht="12.75">
      <c r="A124" s="314"/>
      <c r="B124" s="324" t="s">
        <v>209</v>
      </c>
      <c r="C124" s="564"/>
      <c r="D124" s="564"/>
      <c r="E124" s="564"/>
      <c r="F124" s="564"/>
      <c r="G124" s="564"/>
      <c r="H124" s="321"/>
    </row>
    <row r="125" spans="1:8" ht="12.75">
      <c r="A125" s="314"/>
      <c r="B125" s="324" t="s">
        <v>370</v>
      </c>
      <c r="C125" s="564"/>
      <c r="D125" s="564"/>
      <c r="E125" s="564"/>
      <c r="F125" s="564"/>
      <c r="G125" s="564"/>
      <c r="H125" s="321"/>
    </row>
    <row r="126" spans="1:8" ht="12.75">
      <c r="A126" s="314"/>
      <c r="B126" s="325" t="s">
        <v>500</v>
      </c>
      <c r="C126" s="564"/>
      <c r="D126" s="564"/>
      <c r="E126" s="564"/>
      <c r="F126" s="564"/>
      <c r="G126" s="564"/>
      <c r="H126" s="321"/>
    </row>
    <row r="127" spans="1:8" ht="13.5" thickBot="1">
      <c r="A127" s="314"/>
      <c r="B127" s="326" t="s">
        <v>210</v>
      </c>
      <c r="C127" s="801"/>
      <c r="D127" s="801"/>
      <c r="E127" s="801">
        <v>139</v>
      </c>
      <c r="F127" s="801">
        <v>139</v>
      </c>
      <c r="G127" s="801">
        <v>140</v>
      </c>
      <c r="H127" s="736">
        <f>SUM(G127/F127)</f>
        <v>1.0071942446043165</v>
      </c>
    </row>
    <row r="128" spans="1:8" ht="13.5" thickBot="1">
      <c r="A128" s="314"/>
      <c r="B128" s="328" t="s">
        <v>366</v>
      </c>
      <c r="C128" s="806"/>
      <c r="D128" s="806"/>
      <c r="E128" s="806">
        <f>SUM(E127)</f>
        <v>139</v>
      </c>
      <c r="F128" s="806">
        <f>SUM(F127)</f>
        <v>139</v>
      </c>
      <c r="G128" s="806">
        <f>SUM(G127)</f>
        <v>140</v>
      </c>
      <c r="H128" s="832">
        <f>SUM(G128/F128)</f>
        <v>1.0071942446043165</v>
      </c>
    </row>
    <row r="129" spans="1:8" ht="13.5" thickBot="1">
      <c r="A129" s="314"/>
      <c r="B129" s="147" t="s">
        <v>240</v>
      </c>
      <c r="C129" s="806"/>
      <c r="D129" s="806"/>
      <c r="E129" s="806"/>
      <c r="F129" s="806"/>
      <c r="G129" s="806"/>
      <c r="H129" s="831"/>
    </row>
    <row r="130" spans="1:8" ht="13.5" thickBot="1">
      <c r="A130" s="314"/>
      <c r="B130" s="587" t="s">
        <v>241</v>
      </c>
      <c r="C130" s="806"/>
      <c r="D130" s="806"/>
      <c r="E130" s="806"/>
      <c r="F130" s="806">
        <f>F129</f>
        <v>0</v>
      </c>
      <c r="G130" s="806">
        <f>G129</f>
        <v>0</v>
      </c>
      <c r="H130" s="831"/>
    </row>
    <row r="131" spans="1:8" ht="13.5" thickBot="1">
      <c r="A131" s="314"/>
      <c r="B131" s="331" t="s">
        <v>72</v>
      </c>
      <c r="C131" s="807"/>
      <c r="D131" s="807"/>
      <c r="E131" s="807">
        <f>SUM(E128+E118)</f>
        <v>682</v>
      </c>
      <c r="F131" s="807">
        <f>SUM(F128+F118+F130)</f>
        <v>682</v>
      </c>
      <c r="G131" s="807">
        <f>SUM(G128+G118+G130)</f>
        <v>2301</v>
      </c>
      <c r="H131" s="832">
        <f aca="true" t="shared" si="2" ref="H131:H136">SUM(G131/F131)</f>
        <v>3.373900293255132</v>
      </c>
    </row>
    <row r="132" spans="1:8" ht="13.5" thickBot="1">
      <c r="A132" s="314"/>
      <c r="B132" s="793" t="s">
        <v>514</v>
      </c>
      <c r="C132" s="795"/>
      <c r="D132" s="795"/>
      <c r="E132" s="795">
        <v>218</v>
      </c>
      <c r="F132" s="795">
        <v>218</v>
      </c>
      <c r="G132" s="795">
        <v>218</v>
      </c>
      <c r="H132" s="831">
        <f t="shared" si="2"/>
        <v>1</v>
      </c>
    </row>
    <row r="133" spans="1:8" ht="13.5" thickBot="1">
      <c r="A133" s="314"/>
      <c r="B133" s="333" t="s">
        <v>73</v>
      </c>
      <c r="C133" s="796"/>
      <c r="D133" s="796"/>
      <c r="E133" s="796">
        <f>SUM(E132)</f>
        <v>218</v>
      </c>
      <c r="F133" s="796">
        <f>SUM(F132)</f>
        <v>218</v>
      </c>
      <c r="G133" s="796">
        <f>SUM(G132)</f>
        <v>218</v>
      </c>
      <c r="H133" s="832">
        <f t="shared" si="2"/>
        <v>1</v>
      </c>
    </row>
    <row r="134" spans="1:8" ht="12.75">
      <c r="A134" s="314"/>
      <c r="B134" s="785" t="s">
        <v>470</v>
      </c>
      <c r="C134" s="565"/>
      <c r="D134" s="565">
        <v>689</v>
      </c>
      <c r="E134" s="565">
        <v>689</v>
      </c>
      <c r="F134" s="565">
        <v>689</v>
      </c>
      <c r="G134" s="565">
        <v>689</v>
      </c>
      <c r="H134" s="321">
        <f t="shared" si="2"/>
        <v>1</v>
      </c>
    </row>
    <row r="135" spans="1:8" ht="13.5" thickBot="1">
      <c r="A135" s="314"/>
      <c r="B135" s="336" t="s">
        <v>507</v>
      </c>
      <c r="C135" s="801">
        <v>259553</v>
      </c>
      <c r="D135" s="801">
        <v>265494</v>
      </c>
      <c r="E135" s="801">
        <v>265606</v>
      </c>
      <c r="F135" s="801">
        <f>265606+18+564</f>
        <v>266188</v>
      </c>
      <c r="G135" s="801">
        <v>266193</v>
      </c>
      <c r="H135" s="736">
        <f t="shared" si="2"/>
        <v>1.0000187837167716</v>
      </c>
    </row>
    <row r="136" spans="1:8" ht="13.5" thickBot="1">
      <c r="A136" s="314"/>
      <c r="B136" s="337" t="s">
        <v>66</v>
      </c>
      <c r="C136" s="799">
        <f>SUM(C134:C135)</f>
        <v>259553</v>
      </c>
      <c r="D136" s="799">
        <f>SUM(D134:D135)</f>
        <v>266183</v>
      </c>
      <c r="E136" s="799">
        <f>SUM(E134:E135)</f>
        <v>266295</v>
      </c>
      <c r="F136" s="799">
        <f>SUM(F134:F135)</f>
        <v>266877</v>
      </c>
      <c r="G136" s="799">
        <f>SUM(G134:G135)</f>
        <v>266882</v>
      </c>
      <c r="H136" s="832">
        <f t="shared" si="2"/>
        <v>1.000018735222593</v>
      </c>
    </row>
    <row r="137" spans="1:8" ht="13.5" thickBot="1">
      <c r="A137" s="314"/>
      <c r="B137" s="249" t="s">
        <v>470</v>
      </c>
      <c r="C137" s="795"/>
      <c r="D137" s="795"/>
      <c r="E137" s="795"/>
      <c r="F137" s="795"/>
      <c r="G137" s="795"/>
      <c r="H137" s="831"/>
    </row>
    <row r="138" spans="1:8" ht="13.5" thickBot="1">
      <c r="A138" s="314"/>
      <c r="B138" s="337" t="s">
        <v>68</v>
      </c>
      <c r="C138" s="799"/>
      <c r="D138" s="799"/>
      <c r="E138" s="799"/>
      <c r="F138" s="799"/>
      <c r="G138" s="799"/>
      <c r="H138" s="831"/>
    </row>
    <row r="139" spans="1:8" ht="15.75" thickBot="1">
      <c r="A139" s="314"/>
      <c r="B139" s="339" t="s">
        <v>80</v>
      </c>
      <c r="C139" s="800">
        <f>SUM(C131+C133+C136+C138)</f>
        <v>259553</v>
      </c>
      <c r="D139" s="800">
        <f>SUM(D131+D133+D136+D138)</f>
        <v>266183</v>
      </c>
      <c r="E139" s="800">
        <f>SUM(E131+E133+E136+E138)</f>
        <v>267195</v>
      </c>
      <c r="F139" s="800">
        <f>SUM(F131+F133+F136+F138)</f>
        <v>267777</v>
      </c>
      <c r="G139" s="800">
        <f>SUM(G131+G133+G136+G138)</f>
        <v>269401</v>
      </c>
      <c r="H139" s="1202">
        <f>SUM(G139/F139)</f>
        <v>1.0060647479059068</v>
      </c>
    </row>
    <row r="140" spans="1:8" ht="12.75">
      <c r="A140" s="314"/>
      <c r="B140" s="340" t="s">
        <v>344</v>
      </c>
      <c r="C140" s="564">
        <v>201683</v>
      </c>
      <c r="D140" s="564">
        <v>206500</v>
      </c>
      <c r="E140" s="564">
        <v>206593</v>
      </c>
      <c r="F140" s="564">
        <f>206593+15+472</f>
        <v>207080</v>
      </c>
      <c r="G140" s="564">
        <v>207084</v>
      </c>
      <c r="H140" s="321">
        <f>SUM(G140/F140)</f>
        <v>1.0000193162062971</v>
      </c>
    </row>
    <row r="141" spans="1:8" ht="12.75">
      <c r="A141" s="314"/>
      <c r="B141" s="340" t="s">
        <v>345</v>
      </c>
      <c r="C141" s="564">
        <v>44670</v>
      </c>
      <c r="D141" s="564">
        <v>45612</v>
      </c>
      <c r="E141" s="564">
        <v>45631</v>
      </c>
      <c r="F141" s="564">
        <f>45631+3+92</f>
        <v>45726</v>
      </c>
      <c r="G141" s="564">
        <v>45727</v>
      </c>
      <c r="H141" s="321">
        <f>SUM(G141/F141)</f>
        <v>1.0000218693959673</v>
      </c>
    </row>
    <row r="142" spans="1:8" ht="12.75">
      <c r="A142" s="314"/>
      <c r="B142" s="340" t="s">
        <v>346</v>
      </c>
      <c r="C142" s="564">
        <v>9637</v>
      </c>
      <c r="D142" s="564">
        <v>10508</v>
      </c>
      <c r="E142" s="564">
        <v>11186</v>
      </c>
      <c r="F142" s="564">
        <f>11186-30</f>
        <v>11156</v>
      </c>
      <c r="G142" s="564">
        <v>12775</v>
      </c>
      <c r="H142" s="321">
        <f>SUM(G142/F142)</f>
        <v>1.145123700250986</v>
      </c>
    </row>
    <row r="143" spans="1:8" ht="12.75">
      <c r="A143" s="314"/>
      <c r="B143" s="341" t="s">
        <v>348</v>
      </c>
      <c r="C143" s="564"/>
      <c r="D143" s="564"/>
      <c r="E143" s="564"/>
      <c r="F143" s="564"/>
      <c r="G143" s="564"/>
      <c r="H143" s="321"/>
    </row>
    <row r="144" spans="1:8" ht="13.5" thickBot="1">
      <c r="A144" s="314"/>
      <c r="B144" s="342" t="s">
        <v>347</v>
      </c>
      <c r="C144" s="801"/>
      <c r="D144" s="801"/>
      <c r="E144" s="801">
        <v>4</v>
      </c>
      <c r="F144" s="801">
        <f>4+30</f>
        <v>34</v>
      </c>
      <c r="G144" s="801">
        <f>4+30</f>
        <v>34</v>
      </c>
      <c r="H144" s="736">
        <f>SUM(G144/F144)</f>
        <v>1</v>
      </c>
    </row>
    <row r="145" spans="1:8" ht="13.5" thickBot="1">
      <c r="A145" s="314"/>
      <c r="B145" s="343" t="s">
        <v>65</v>
      </c>
      <c r="C145" s="802">
        <f>SUM(C140:C144)</f>
        <v>255990</v>
      </c>
      <c r="D145" s="802">
        <f>SUM(D140:D144)</f>
        <v>262620</v>
      </c>
      <c r="E145" s="802">
        <f>SUM(E140:E144)</f>
        <v>263414</v>
      </c>
      <c r="F145" s="802">
        <f>SUM(F140:F144)</f>
        <v>263996</v>
      </c>
      <c r="G145" s="802">
        <f>SUM(G140:G144)</f>
        <v>265620</v>
      </c>
      <c r="H145" s="832">
        <f>SUM(G145/F145)</f>
        <v>1.0061516083577025</v>
      </c>
    </row>
    <row r="146" spans="1:8" ht="12.75">
      <c r="A146" s="314"/>
      <c r="B146" s="340" t="s">
        <v>264</v>
      </c>
      <c r="C146" s="564">
        <v>3563</v>
      </c>
      <c r="D146" s="564">
        <v>3563</v>
      </c>
      <c r="E146" s="564">
        <v>3781</v>
      </c>
      <c r="F146" s="564">
        <v>3781</v>
      </c>
      <c r="G146" s="564">
        <v>3781</v>
      </c>
      <c r="H146" s="321">
        <f>SUM(G146/F146)</f>
        <v>1</v>
      </c>
    </row>
    <row r="147" spans="1:8" ht="12.75">
      <c r="A147" s="314"/>
      <c r="B147" s="340" t="s">
        <v>265</v>
      </c>
      <c r="C147" s="564"/>
      <c r="D147" s="564"/>
      <c r="E147" s="564"/>
      <c r="F147" s="564"/>
      <c r="G147" s="564"/>
      <c r="H147" s="321"/>
    </row>
    <row r="148" spans="1:8" ht="13.5" thickBot="1">
      <c r="A148" s="314"/>
      <c r="B148" s="342" t="s">
        <v>479</v>
      </c>
      <c r="C148" s="801"/>
      <c r="D148" s="801"/>
      <c r="E148" s="801"/>
      <c r="F148" s="801"/>
      <c r="G148" s="801"/>
      <c r="H148" s="736"/>
    </row>
    <row r="149" spans="1:8" ht="13.5" thickBot="1">
      <c r="A149" s="314"/>
      <c r="B149" s="344" t="s">
        <v>71</v>
      </c>
      <c r="C149" s="802">
        <f>SUM(C146:C148)</f>
        <v>3563</v>
      </c>
      <c r="D149" s="802">
        <f>SUM(D146:D148)</f>
        <v>3563</v>
      </c>
      <c r="E149" s="802">
        <f>SUM(E146:E148)</f>
        <v>3781</v>
      </c>
      <c r="F149" s="802">
        <f>SUM(F146:F148)</f>
        <v>3781</v>
      </c>
      <c r="G149" s="802">
        <f>SUM(G146:G148)</f>
        <v>3781</v>
      </c>
      <c r="H149" s="832">
        <f>SUM(G149/F149)</f>
        <v>1</v>
      </c>
    </row>
    <row r="150" spans="1:10" ht="15.75" thickBot="1">
      <c r="A150" s="311"/>
      <c r="B150" s="345" t="s">
        <v>117</v>
      </c>
      <c r="C150" s="800">
        <f>SUM(C145+C149)</f>
        <v>259553</v>
      </c>
      <c r="D150" s="800">
        <f>SUM(D145+D149)</f>
        <v>266183</v>
      </c>
      <c r="E150" s="800">
        <f>SUM(E145+E149)</f>
        <v>267195</v>
      </c>
      <c r="F150" s="800">
        <f>SUM(F145+F149)</f>
        <v>267777</v>
      </c>
      <c r="G150" s="800">
        <f>SUM(G145+G149)</f>
        <v>269401</v>
      </c>
      <c r="H150" s="832">
        <f>SUM(G150/F150)</f>
        <v>1.0060647479059068</v>
      </c>
      <c r="J150" s="829"/>
    </row>
    <row r="151" spans="1:8" ht="15">
      <c r="A151" s="226">
        <v>2325</v>
      </c>
      <c r="B151" s="347" t="s">
        <v>352</v>
      </c>
      <c r="C151" s="564"/>
      <c r="D151" s="564"/>
      <c r="E151" s="564"/>
      <c r="F151" s="564"/>
      <c r="G151" s="564"/>
      <c r="H151" s="321"/>
    </row>
    <row r="152" spans="1:8" ht="12" customHeight="1">
      <c r="A152" s="314"/>
      <c r="B152" s="316" t="s">
        <v>201</v>
      </c>
      <c r="C152" s="592"/>
      <c r="D152" s="592"/>
      <c r="E152" s="592"/>
      <c r="F152" s="592"/>
      <c r="G152" s="592"/>
      <c r="H152" s="321"/>
    </row>
    <row r="153" spans="1:8" ht="13.5" thickBot="1">
      <c r="A153" s="314"/>
      <c r="B153" s="317" t="s">
        <v>202</v>
      </c>
      <c r="C153" s="803"/>
      <c r="D153" s="803"/>
      <c r="E153" s="803">
        <v>797</v>
      </c>
      <c r="F153" s="803">
        <v>797</v>
      </c>
      <c r="G153" s="803">
        <v>1909</v>
      </c>
      <c r="H153" s="736">
        <f>SUM(G153/F153)</f>
        <v>2.395232120451694</v>
      </c>
    </row>
    <row r="154" spans="1:8" ht="13.5" thickBot="1">
      <c r="A154" s="314"/>
      <c r="B154" s="318" t="s">
        <v>203</v>
      </c>
      <c r="C154" s="804"/>
      <c r="D154" s="804"/>
      <c r="E154" s="804">
        <f>SUM(E153)</f>
        <v>797</v>
      </c>
      <c r="F154" s="804">
        <f>SUM(F153)</f>
        <v>797</v>
      </c>
      <c r="G154" s="804">
        <f>SUM(G153)</f>
        <v>1909</v>
      </c>
      <c r="H154" s="832">
        <f>SUM(G154/F154)</f>
        <v>2.395232120451694</v>
      </c>
    </row>
    <row r="155" spans="1:8" ht="12.75">
      <c r="A155" s="314"/>
      <c r="B155" s="316" t="s">
        <v>204</v>
      </c>
      <c r="C155" s="564"/>
      <c r="D155" s="564"/>
      <c r="E155" s="564"/>
      <c r="F155" s="564"/>
      <c r="G155" s="564"/>
      <c r="H155" s="321"/>
    </row>
    <row r="156" spans="1:8" ht="12.75">
      <c r="A156" s="314"/>
      <c r="B156" s="322" t="s">
        <v>205</v>
      </c>
      <c r="C156" s="805"/>
      <c r="D156" s="805"/>
      <c r="E156" s="805"/>
      <c r="F156" s="805"/>
      <c r="G156" s="805"/>
      <c r="H156" s="321"/>
    </row>
    <row r="157" spans="1:8" ht="12.75">
      <c r="A157" s="314"/>
      <c r="B157" s="322" t="s">
        <v>206</v>
      </c>
      <c r="C157" s="805"/>
      <c r="D157" s="805"/>
      <c r="E157" s="805"/>
      <c r="F157" s="805"/>
      <c r="G157" s="805"/>
      <c r="H157" s="321"/>
    </row>
    <row r="158" spans="1:8" ht="12.75">
      <c r="A158" s="314"/>
      <c r="B158" s="324" t="s">
        <v>207</v>
      </c>
      <c r="C158" s="564"/>
      <c r="D158" s="564"/>
      <c r="E158" s="564"/>
      <c r="F158" s="564"/>
      <c r="G158" s="564"/>
      <c r="H158" s="321"/>
    </row>
    <row r="159" spans="1:8" ht="12.75">
      <c r="A159" s="314"/>
      <c r="B159" s="324" t="s">
        <v>208</v>
      </c>
      <c r="C159" s="564"/>
      <c r="D159" s="564"/>
      <c r="E159" s="564"/>
      <c r="F159" s="564"/>
      <c r="G159" s="564"/>
      <c r="H159" s="321"/>
    </row>
    <row r="160" spans="1:8" ht="12.75">
      <c r="A160" s="314"/>
      <c r="B160" s="324" t="s">
        <v>209</v>
      </c>
      <c r="C160" s="564"/>
      <c r="D160" s="564"/>
      <c r="E160" s="564"/>
      <c r="F160" s="564"/>
      <c r="G160" s="564"/>
      <c r="H160" s="321"/>
    </row>
    <row r="161" spans="1:8" ht="12.75">
      <c r="A161" s="314"/>
      <c r="B161" s="325" t="s">
        <v>500</v>
      </c>
      <c r="C161" s="564"/>
      <c r="D161" s="564"/>
      <c r="E161" s="564"/>
      <c r="F161" s="564"/>
      <c r="G161" s="564"/>
      <c r="H161" s="321"/>
    </row>
    <row r="162" spans="1:8" ht="13.5" thickBot="1">
      <c r="A162" s="314"/>
      <c r="B162" s="326" t="s">
        <v>210</v>
      </c>
      <c r="C162" s="801"/>
      <c r="D162" s="801"/>
      <c r="E162" s="801"/>
      <c r="F162" s="801"/>
      <c r="G162" s="801">
        <v>83</v>
      </c>
      <c r="H162" s="736"/>
    </row>
    <row r="163" spans="1:8" ht="13.5" thickBot="1">
      <c r="A163" s="314"/>
      <c r="B163" s="328" t="s">
        <v>366</v>
      </c>
      <c r="C163" s="806"/>
      <c r="D163" s="806"/>
      <c r="E163" s="806"/>
      <c r="F163" s="806"/>
      <c r="G163" s="806">
        <f>SUM(G162)</f>
        <v>83</v>
      </c>
      <c r="H163" s="831"/>
    </row>
    <row r="164" spans="1:8" ht="13.5" thickBot="1">
      <c r="A164" s="314"/>
      <c r="B164" s="147" t="s">
        <v>240</v>
      </c>
      <c r="C164" s="806"/>
      <c r="D164" s="806"/>
      <c r="E164" s="806"/>
      <c r="F164" s="806"/>
      <c r="G164" s="806"/>
      <c r="H164" s="831"/>
    </row>
    <row r="165" spans="1:8" ht="13.5" thickBot="1">
      <c r="A165" s="314"/>
      <c r="B165" s="587" t="s">
        <v>241</v>
      </c>
      <c r="C165" s="806"/>
      <c r="D165" s="806"/>
      <c r="E165" s="806"/>
      <c r="F165" s="806">
        <f>F164</f>
        <v>0</v>
      </c>
      <c r="G165" s="806">
        <f>G164</f>
        <v>0</v>
      </c>
      <c r="H165" s="831"/>
    </row>
    <row r="166" spans="1:8" ht="13.5" thickBot="1">
      <c r="A166" s="314"/>
      <c r="B166" s="331" t="s">
        <v>72</v>
      </c>
      <c r="C166" s="807"/>
      <c r="D166" s="807"/>
      <c r="E166" s="807">
        <f>SUM(E154)</f>
        <v>797</v>
      </c>
      <c r="F166" s="807">
        <f>SUM(F154+F165)</f>
        <v>797</v>
      </c>
      <c r="G166" s="807">
        <f>SUM(G154+G165+G163)</f>
        <v>1992</v>
      </c>
      <c r="H166" s="832">
        <f aca="true" t="shared" si="3" ref="H166:H171">SUM(G166/F166)</f>
        <v>2.4993726474278546</v>
      </c>
    </row>
    <row r="167" spans="1:8" ht="13.5" thickBot="1">
      <c r="A167" s="314"/>
      <c r="B167" s="793" t="s">
        <v>514</v>
      </c>
      <c r="C167" s="795"/>
      <c r="D167" s="795"/>
      <c r="E167" s="795">
        <v>116</v>
      </c>
      <c r="F167" s="795">
        <v>116</v>
      </c>
      <c r="G167" s="795">
        <v>116</v>
      </c>
      <c r="H167" s="831">
        <f t="shared" si="3"/>
        <v>1</v>
      </c>
    </row>
    <row r="168" spans="1:8" ht="13.5" thickBot="1">
      <c r="A168" s="314"/>
      <c r="B168" s="333" t="s">
        <v>73</v>
      </c>
      <c r="C168" s="796"/>
      <c r="D168" s="796"/>
      <c r="E168" s="796">
        <f>SUM(E167)</f>
        <v>116</v>
      </c>
      <c r="F168" s="796">
        <f>SUM(F167)</f>
        <v>116</v>
      </c>
      <c r="G168" s="796">
        <f>SUM(G167)</f>
        <v>116</v>
      </c>
      <c r="H168" s="832">
        <f t="shared" si="3"/>
        <v>1</v>
      </c>
    </row>
    <row r="169" spans="1:8" ht="12.75">
      <c r="A169" s="314"/>
      <c r="B169" s="785" t="s">
        <v>470</v>
      </c>
      <c r="C169" s="565"/>
      <c r="D169" s="797">
        <v>1181</v>
      </c>
      <c r="E169" s="797">
        <v>1181</v>
      </c>
      <c r="F169" s="797">
        <v>1181</v>
      </c>
      <c r="G169" s="797">
        <v>1181</v>
      </c>
      <c r="H169" s="321">
        <f t="shared" si="3"/>
        <v>1</v>
      </c>
    </row>
    <row r="170" spans="1:8" ht="13.5" thickBot="1">
      <c r="A170" s="314"/>
      <c r="B170" s="336" t="s">
        <v>507</v>
      </c>
      <c r="C170" s="801">
        <v>132015</v>
      </c>
      <c r="D170" s="801">
        <v>135857</v>
      </c>
      <c r="E170" s="801">
        <v>135959</v>
      </c>
      <c r="F170" s="801">
        <f>135959+26+514</f>
        <v>136499</v>
      </c>
      <c r="G170" s="801">
        <v>136525</v>
      </c>
      <c r="H170" s="736">
        <f t="shared" si="3"/>
        <v>1.0001904775859163</v>
      </c>
    </row>
    <row r="171" spans="1:8" ht="13.5" thickBot="1">
      <c r="A171" s="314"/>
      <c r="B171" s="337" t="s">
        <v>66</v>
      </c>
      <c r="C171" s="799">
        <f>SUM(C169:C170)</f>
        <v>132015</v>
      </c>
      <c r="D171" s="799">
        <f>SUM(D169:D170)</f>
        <v>137038</v>
      </c>
      <c r="E171" s="799">
        <f>SUM(E169:E170)</f>
        <v>137140</v>
      </c>
      <c r="F171" s="799">
        <f>SUM(F169:F170)</f>
        <v>137680</v>
      </c>
      <c r="G171" s="799">
        <f>SUM(G169:G170)</f>
        <v>137706</v>
      </c>
      <c r="H171" s="832">
        <f t="shared" si="3"/>
        <v>1.000188843695526</v>
      </c>
    </row>
    <row r="172" spans="1:8" ht="13.5" thickBot="1">
      <c r="A172" s="314"/>
      <c r="B172" s="249" t="s">
        <v>470</v>
      </c>
      <c r="C172" s="795"/>
      <c r="D172" s="795"/>
      <c r="E172" s="795"/>
      <c r="F172" s="795"/>
      <c r="G172" s="795"/>
      <c r="H172" s="831"/>
    </row>
    <row r="173" spans="1:8" ht="13.5" thickBot="1">
      <c r="A173" s="314"/>
      <c r="B173" s="337" t="s">
        <v>68</v>
      </c>
      <c r="C173" s="799"/>
      <c r="D173" s="799"/>
      <c r="E173" s="799"/>
      <c r="F173" s="799"/>
      <c r="G173" s="799"/>
      <c r="H173" s="831"/>
    </row>
    <row r="174" spans="1:8" ht="15.75" thickBot="1">
      <c r="A174" s="314"/>
      <c r="B174" s="339" t="s">
        <v>80</v>
      </c>
      <c r="C174" s="800">
        <f>SUM(C166+C168+C171+C173)</f>
        <v>132015</v>
      </c>
      <c r="D174" s="800">
        <f>SUM(D166+D168+D171+D173)</f>
        <v>137038</v>
      </c>
      <c r="E174" s="800">
        <f>SUM(E166+E168+E171+E173)</f>
        <v>138053</v>
      </c>
      <c r="F174" s="800">
        <f>SUM(F166+F168+F171+F173)</f>
        <v>138593</v>
      </c>
      <c r="G174" s="800">
        <f>SUM(G166+G168+G171+G173)</f>
        <v>139814</v>
      </c>
      <c r="H174" s="832">
        <f>SUM(G174/F174)</f>
        <v>1.0088099687574408</v>
      </c>
    </row>
    <row r="175" spans="1:8" ht="12.75">
      <c r="A175" s="314"/>
      <c r="B175" s="340" t="s">
        <v>344</v>
      </c>
      <c r="C175" s="564">
        <v>103948</v>
      </c>
      <c r="D175" s="564">
        <v>107054</v>
      </c>
      <c r="E175" s="564">
        <v>107140</v>
      </c>
      <c r="F175" s="564">
        <f>107140+22+430</f>
        <v>107592</v>
      </c>
      <c r="G175" s="564">
        <v>107614</v>
      </c>
      <c r="H175" s="321">
        <f>SUM(G175/F175)</f>
        <v>1.000204476169232</v>
      </c>
    </row>
    <row r="176" spans="1:8" ht="12.75">
      <c r="A176" s="314"/>
      <c r="B176" s="340" t="s">
        <v>345</v>
      </c>
      <c r="C176" s="564">
        <v>23065</v>
      </c>
      <c r="D176" s="564">
        <v>23673</v>
      </c>
      <c r="E176" s="564">
        <v>23689</v>
      </c>
      <c r="F176" s="564">
        <f>23689+4+84</f>
        <v>23777</v>
      </c>
      <c r="G176" s="564">
        <v>23781</v>
      </c>
      <c r="H176" s="321">
        <f>SUM(G176/F176)</f>
        <v>1.0001682298019094</v>
      </c>
    </row>
    <row r="177" spans="1:8" ht="12.75">
      <c r="A177" s="314"/>
      <c r="B177" s="340" t="s">
        <v>346</v>
      </c>
      <c r="C177" s="564">
        <v>3732</v>
      </c>
      <c r="D177" s="564">
        <v>5041</v>
      </c>
      <c r="E177" s="564">
        <v>5838</v>
      </c>
      <c r="F177" s="564">
        <v>5838</v>
      </c>
      <c r="G177" s="564">
        <v>7033</v>
      </c>
      <c r="H177" s="321">
        <f>SUM(G177/F177)</f>
        <v>1.2046933881466255</v>
      </c>
    </row>
    <row r="178" spans="1:8" ht="12.75">
      <c r="A178" s="314"/>
      <c r="B178" s="341" t="s">
        <v>348</v>
      </c>
      <c r="C178" s="564"/>
      <c r="D178" s="564"/>
      <c r="E178" s="564"/>
      <c r="F178" s="564"/>
      <c r="G178" s="564"/>
      <c r="H178" s="321"/>
    </row>
    <row r="179" spans="1:8" ht="13.5" thickBot="1">
      <c r="A179" s="314"/>
      <c r="B179" s="342" t="s">
        <v>347</v>
      </c>
      <c r="C179" s="801"/>
      <c r="D179" s="801"/>
      <c r="E179" s="801"/>
      <c r="F179" s="801"/>
      <c r="G179" s="801"/>
      <c r="H179" s="736"/>
    </row>
    <row r="180" spans="1:8" ht="13.5" thickBot="1">
      <c r="A180" s="314"/>
      <c r="B180" s="343" t="s">
        <v>65</v>
      </c>
      <c r="C180" s="806">
        <f>SUM(C175:C179)</f>
        <v>130745</v>
      </c>
      <c r="D180" s="806">
        <f>SUM(D175:D179)</f>
        <v>135768</v>
      </c>
      <c r="E180" s="806">
        <f>SUM(E175:E179)</f>
        <v>136667</v>
      </c>
      <c r="F180" s="806">
        <f>SUM(F175:F179)</f>
        <v>137207</v>
      </c>
      <c r="G180" s="806">
        <f>SUM(G175:G179)</f>
        <v>138428</v>
      </c>
      <c r="H180" s="832">
        <f>SUM(G180/F180)</f>
        <v>1.0088989628809026</v>
      </c>
    </row>
    <row r="181" spans="1:8" ht="12.75">
      <c r="A181" s="314"/>
      <c r="B181" s="340" t="s">
        <v>264</v>
      </c>
      <c r="C181" s="564">
        <v>1270</v>
      </c>
      <c r="D181" s="564">
        <v>1270</v>
      </c>
      <c r="E181" s="564">
        <v>1386</v>
      </c>
      <c r="F181" s="564">
        <v>1386</v>
      </c>
      <c r="G181" s="564">
        <v>1386</v>
      </c>
      <c r="H181" s="321">
        <f>SUM(G181/F181)</f>
        <v>1</v>
      </c>
    </row>
    <row r="182" spans="1:8" ht="12.75">
      <c r="A182" s="314"/>
      <c r="B182" s="340" t="s">
        <v>265</v>
      </c>
      <c r="C182" s="564"/>
      <c r="D182" s="564"/>
      <c r="E182" s="564"/>
      <c r="F182" s="564"/>
      <c r="G182" s="564"/>
      <c r="H182" s="321"/>
    </row>
    <row r="183" spans="1:8" ht="13.5" thickBot="1">
      <c r="A183" s="314"/>
      <c r="B183" s="342" t="s">
        <v>479</v>
      </c>
      <c r="C183" s="801"/>
      <c r="D183" s="801"/>
      <c r="E183" s="801"/>
      <c r="F183" s="801"/>
      <c r="G183" s="801"/>
      <c r="H183" s="736"/>
    </row>
    <row r="184" spans="1:8" ht="13.5" thickBot="1">
      <c r="A184" s="314"/>
      <c r="B184" s="344" t="s">
        <v>71</v>
      </c>
      <c r="C184" s="806">
        <f>SUM(C181:C183)</f>
        <v>1270</v>
      </c>
      <c r="D184" s="806">
        <f>SUM(D181:D183)</f>
        <v>1270</v>
      </c>
      <c r="E184" s="806">
        <f>SUM(E181:E183)</f>
        <v>1386</v>
      </c>
      <c r="F184" s="806">
        <f>SUM(F181:F183)</f>
        <v>1386</v>
      </c>
      <c r="G184" s="806">
        <f>SUM(G181:G183)</f>
        <v>1386</v>
      </c>
      <c r="H184" s="832">
        <f>SUM(G184/F184)</f>
        <v>1</v>
      </c>
    </row>
    <row r="185" spans="1:10" ht="15.75" thickBot="1">
      <c r="A185" s="311"/>
      <c r="B185" s="345" t="s">
        <v>117</v>
      </c>
      <c r="C185" s="800">
        <f>SUM(C180+C184)</f>
        <v>132015</v>
      </c>
      <c r="D185" s="800">
        <f>SUM(D180+D184)</f>
        <v>137038</v>
      </c>
      <c r="E185" s="800">
        <f>SUM(E180+E184)</f>
        <v>138053</v>
      </c>
      <c r="F185" s="800">
        <f>SUM(F180+F184)</f>
        <v>138593</v>
      </c>
      <c r="G185" s="800">
        <f>SUM(G180+G184)</f>
        <v>139814</v>
      </c>
      <c r="H185" s="1202">
        <f>SUM(G185/F185)</f>
        <v>1.0088099687574408</v>
      </c>
      <c r="J185" s="829"/>
    </row>
    <row r="186" spans="1:8" ht="15">
      <c r="A186" s="226">
        <v>2330</v>
      </c>
      <c r="B186" s="229" t="s">
        <v>353</v>
      </c>
      <c r="C186" s="564"/>
      <c r="D186" s="564"/>
      <c r="E186" s="564"/>
      <c r="F186" s="564"/>
      <c r="G186" s="564"/>
      <c r="H186" s="321"/>
    </row>
    <row r="187" spans="1:8" ht="12" customHeight="1">
      <c r="A187" s="314"/>
      <c r="B187" s="316" t="s">
        <v>201</v>
      </c>
      <c r="C187" s="592"/>
      <c r="D187" s="592"/>
      <c r="E187" s="592"/>
      <c r="F187" s="592"/>
      <c r="G187" s="592"/>
      <c r="H187" s="321"/>
    </row>
    <row r="188" spans="1:8" ht="13.5" thickBot="1">
      <c r="A188" s="314"/>
      <c r="B188" s="317" t="s">
        <v>202</v>
      </c>
      <c r="C188" s="803"/>
      <c r="D188" s="803"/>
      <c r="E188" s="803">
        <v>440</v>
      </c>
      <c r="F188" s="803">
        <v>440</v>
      </c>
      <c r="G188" s="803">
        <v>904</v>
      </c>
      <c r="H188" s="736">
        <f>SUM(G188/F188)</f>
        <v>2.0545454545454547</v>
      </c>
    </row>
    <row r="189" spans="1:8" ht="13.5" thickBot="1">
      <c r="A189" s="314"/>
      <c r="B189" s="318" t="s">
        <v>215</v>
      </c>
      <c r="C189" s="804"/>
      <c r="D189" s="804"/>
      <c r="E189" s="804">
        <f>SUM(E188)</f>
        <v>440</v>
      </c>
      <c r="F189" s="804">
        <f>SUM(F188)</f>
        <v>440</v>
      </c>
      <c r="G189" s="804">
        <f>SUM(G188)</f>
        <v>904</v>
      </c>
      <c r="H189" s="832">
        <f>SUM(G189/F189)</f>
        <v>2.0545454545454547</v>
      </c>
    </row>
    <row r="190" spans="1:8" ht="12.75">
      <c r="A190" s="314"/>
      <c r="B190" s="316" t="s">
        <v>204</v>
      </c>
      <c r="C190" s="564"/>
      <c r="D190" s="564"/>
      <c r="E190" s="564"/>
      <c r="F190" s="564"/>
      <c r="G190" s="564"/>
      <c r="H190" s="321"/>
    </row>
    <row r="191" spans="1:8" ht="12.75">
      <c r="A191" s="314"/>
      <c r="B191" s="322" t="s">
        <v>205</v>
      </c>
      <c r="C191" s="805"/>
      <c r="D191" s="805"/>
      <c r="E191" s="805"/>
      <c r="F191" s="805"/>
      <c r="G191" s="805"/>
      <c r="H191" s="321"/>
    </row>
    <row r="192" spans="1:8" ht="12.75">
      <c r="A192" s="314"/>
      <c r="B192" s="322" t="s">
        <v>206</v>
      </c>
      <c r="C192" s="805"/>
      <c r="D192" s="805"/>
      <c r="E192" s="805"/>
      <c r="F192" s="805"/>
      <c r="G192" s="805"/>
      <c r="H192" s="321"/>
    </row>
    <row r="193" spans="1:8" ht="12.75">
      <c r="A193" s="314"/>
      <c r="B193" s="324" t="s">
        <v>207</v>
      </c>
      <c r="C193" s="564"/>
      <c r="D193" s="564"/>
      <c r="E193" s="564"/>
      <c r="F193" s="564"/>
      <c r="G193" s="564"/>
      <c r="H193" s="321"/>
    </row>
    <row r="194" spans="1:8" ht="12.75">
      <c r="A194" s="314"/>
      <c r="B194" s="324" t="s">
        <v>208</v>
      </c>
      <c r="C194" s="564"/>
      <c r="D194" s="564"/>
      <c r="E194" s="564"/>
      <c r="F194" s="564"/>
      <c r="G194" s="564"/>
      <c r="H194" s="321"/>
    </row>
    <row r="195" spans="1:8" ht="12.75">
      <c r="A195" s="314"/>
      <c r="B195" s="324" t="s">
        <v>209</v>
      </c>
      <c r="C195" s="564"/>
      <c r="D195" s="564"/>
      <c r="E195" s="564"/>
      <c r="F195" s="564"/>
      <c r="G195" s="564"/>
      <c r="H195" s="321"/>
    </row>
    <row r="196" spans="1:8" ht="12.75">
      <c r="A196" s="314"/>
      <c r="B196" s="325" t="s">
        <v>500</v>
      </c>
      <c r="C196" s="564"/>
      <c r="D196" s="564"/>
      <c r="E196" s="564"/>
      <c r="F196" s="564"/>
      <c r="G196" s="564"/>
      <c r="H196" s="321"/>
    </row>
    <row r="197" spans="1:8" ht="13.5" thickBot="1">
      <c r="A197" s="314"/>
      <c r="B197" s="326" t="s">
        <v>210</v>
      </c>
      <c r="C197" s="801"/>
      <c r="D197" s="801"/>
      <c r="E197" s="801">
        <v>65</v>
      </c>
      <c r="F197" s="801">
        <v>65</v>
      </c>
      <c r="G197" s="801">
        <v>66</v>
      </c>
      <c r="H197" s="736">
        <f>SUM(G197/F197)</f>
        <v>1.0153846153846153</v>
      </c>
    </row>
    <row r="198" spans="1:8" ht="13.5" thickBot="1">
      <c r="A198" s="314"/>
      <c r="B198" s="328" t="s">
        <v>366</v>
      </c>
      <c r="C198" s="806"/>
      <c r="D198" s="806"/>
      <c r="E198" s="806">
        <f>SUM(E197)</f>
        <v>65</v>
      </c>
      <c r="F198" s="806">
        <f>SUM(F197)</f>
        <v>65</v>
      </c>
      <c r="G198" s="806">
        <f>SUM(G197)</f>
        <v>66</v>
      </c>
      <c r="H198" s="832">
        <f>SUM(G198/F198)</f>
        <v>1.0153846153846153</v>
      </c>
    </row>
    <row r="199" spans="1:8" ht="13.5" thickBot="1">
      <c r="A199" s="314"/>
      <c r="B199" s="147" t="s">
        <v>240</v>
      </c>
      <c r="C199" s="806"/>
      <c r="D199" s="806"/>
      <c r="E199" s="806"/>
      <c r="F199" s="806"/>
      <c r="G199" s="806"/>
      <c r="H199" s="831"/>
    </row>
    <row r="200" spans="1:8" ht="13.5" thickBot="1">
      <c r="A200" s="314"/>
      <c r="B200" s="587" t="s">
        <v>241</v>
      </c>
      <c r="C200" s="806"/>
      <c r="D200" s="806"/>
      <c r="E200" s="806"/>
      <c r="F200" s="806">
        <f>F199</f>
        <v>0</v>
      </c>
      <c r="G200" s="806">
        <f>G199</f>
        <v>0</v>
      </c>
      <c r="H200" s="831"/>
    </row>
    <row r="201" spans="1:8" ht="13.5" thickBot="1">
      <c r="A201" s="314"/>
      <c r="B201" s="331" t="s">
        <v>72</v>
      </c>
      <c r="C201" s="807"/>
      <c r="D201" s="807"/>
      <c r="E201" s="807">
        <f>SUM(E198+E189)</f>
        <v>505</v>
      </c>
      <c r="F201" s="807">
        <f>SUM(F198+F189+F200)</f>
        <v>505</v>
      </c>
      <c r="G201" s="807">
        <f>SUM(G198+G189+G200)</f>
        <v>970</v>
      </c>
      <c r="H201" s="832">
        <f>SUM(G201/F201)</f>
        <v>1.9207920792079207</v>
      </c>
    </row>
    <row r="202" spans="1:8" ht="13.5" thickBot="1">
      <c r="A202" s="314"/>
      <c r="B202" s="793" t="s">
        <v>514</v>
      </c>
      <c r="C202" s="795"/>
      <c r="D202" s="795"/>
      <c r="E202" s="795">
        <v>87</v>
      </c>
      <c r="F202" s="795">
        <v>87</v>
      </c>
      <c r="G202" s="795">
        <v>87</v>
      </c>
      <c r="H202" s="831">
        <f>SUM(G202/F202)</f>
        <v>1</v>
      </c>
    </row>
    <row r="203" spans="1:8" ht="13.5" thickBot="1">
      <c r="A203" s="314"/>
      <c r="B203" s="333" t="s">
        <v>73</v>
      </c>
      <c r="C203" s="796"/>
      <c r="D203" s="796"/>
      <c r="E203" s="796">
        <f>SUM(E202)</f>
        <v>87</v>
      </c>
      <c r="F203" s="796">
        <f>SUM(F202)</f>
        <v>87</v>
      </c>
      <c r="G203" s="796">
        <f>SUM(G202)</f>
        <v>87</v>
      </c>
      <c r="H203" s="832">
        <f>SUM(G203/F203)</f>
        <v>1</v>
      </c>
    </row>
    <row r="204" spans="1:8" ht="12.75">
      <c r="A204" s="314"/>
      <c r="B204" s="785" t="s">
        <v>470</v>
      </c>
      <c r="C204" s="565"/>
      <c r="D204" s="565">
        <v>35</v>
      </c>
      <c r="E204" s="565">
        <v>35</v>
      </c>
      <c r="F204" s="565">
        <v>35</v>
      </c>
      <c r="G204" s="565">
        <v>35</v>
      </c>
      <c r="H204" s="321">
        <f aca="true" t="shared" si="4" ref="H204:H266">SUM(G204/F204)</f>
        <v>1</v>
      </c>
    </row>
    <row r="205" spans="1:8" ht="13.5" thickBot="1">
      <c r="A205" s="314"/>
      <c r="B205" s="336" t="s">
        <v>507</v>
      </c>
      <c r="C205" s="801">
        <v>110756</v>
      </c>
      <c r="D205" s="801">
        <v>113878</v>
      </c>
      <c r="E205" s="801">
        <v>113878</v>
      </c>
      <c r="F205" s="801">
        <f>113878+559</f>
        <v>114437</v>
      </c>
      <c r="G205" s="801">
        <f>113878+559</f>
        <v>114437</v>
      </c>
      <c r="H205" s="736">
        <f t="shared" si="4"/>
        <v>1</v>
      </c>
    </row>
    <row r="206" spans="1:8" ht="13.5" thickBot="1">
      <c r="A206" s="314"/>
      <c r="B206" s="337" t="s">
        <v>66</v>
      </c>
      <c r="C206" s="799">
        <f>SUM(C204:C205)</f>
        <v>110756</v>
      </c>
      <c r="D206" s="799">
        <f>SUM(D204:D205)</f>
        <v>113913</v>
      </c>
      <c r="E206" s="799">
        <f>SUM(E204:E205)</f>
        <v>113913</v>
      </c>
      <c r="F206" s="799">
        <f>SUM(F204:F205)</f>
        <v>114472</v>
      </c>
      <c r="G206" s="799">
        <f>SUM(G204:G205)</f>
        <v>114472</v>
      </c>
      <c r="H206" s="832">
        <f t="shared" si="4"/>
        <v>1</v>
      </c>
    </row>
    <row r="207" spans="1:8" ht="15.75" thickBot="1">
      <c r="A207" s="314"/>
      <c r="B207" s="339" t="s">
        <v>80</v>
      </c>
      <c r="C207" s="800">
        <f>SUM(C201+C203+C206)</f>
        <v>110756</v>
      </c>
      <c r="D207" s="800">
        <f>SUM(D201+D203+D206)</f>
        <v>113913</v>
      </c>
      <c r="E207" s="800">
        <f>SUM(E201+E203+E206)</f>
        <v>114505</v>
      </c>
      <c r="F207" s="800">
        <f>SUM(F201+F203+F206)</f>
        <v>115064</v>
      </c>
      <c r="G207" s="800">
        <f>SUM(G201+G203+G206)</f>
        <v>115529</v>
      </c>
      <c r="H207" s="1202">
        <f t="shared" si="4"/>
        <v>1.004041229228951</v>
      </c>
    </row>
    <row r="208" spans="1:8" ht="12.75">
      <c r="A208" s="314"/>
      <c r="B208" s="340" t="s">
        <v>344</v>
      </c>
      <c r="C208" s="564">
        <v>87361</v>
      </c>
      <c r="D208" s="564">
        <v>89628</v>
      </c>
      <c r="E208" s="564">
        <v>90628</v>
      </c>
      <c r="F208" s="564">
        <f>90628+468</f>
        <v>91096</v>
      </c>
      <c r="G208" s="564">
        <f>90628+468</f>
        <v>91096</v>
      </c>
      <c r="H208" s="321">
        <f t="shared" si="4"/>
        <v>1</v>
      </c>
    </row>
    <row r="209" spans="1:8" ht="12.75">
      <c r="A209" s="314"/>
      <c r="B209" s="340" t="s">
        <v>345</v>
      </c>
      <c r="C209" s="564">
        <v>17737</v>
      </c>
      <c r="D209" s="564">
        <v>18179</v>
      </c>
      <c r="E209" s="564">
        <v>18374</v>
      </c>
      <c r="F209" s="564">
        <f>18374+91</f>
        <v>18465</v>
      </c>
      <c r="G209" s="564">
        <f>18374+91</f>
        <v>18465</v>
      </c>
      <c r="H209" s="321">
        <f t="shared" si="4"/>
        <v>1</v>
      </c>
    </row>
    <row r="210" spans="1:8" ht="12.75">
      <c r="A210" s="314"/>
      <c r="B210" s="340" t="s">
        <v>346</v>
      </c>
      <c r="C210" s="564">
        <v>4642</v>
      </c>
      <c r="D210" s="564">
        <v>5090</v>
      </c>
      <c r="E210" s="564">
        <v>4400</v>
      </c>
      <c r="F210" s="564">
        <f>4400+600</f>
        <v>5000</v>
      </c>
      <c r="G210" s="564">
        <v>5465</v>
      </c>
      <c r="H210" s="321">
        <f t="shared" si="4"/>
        <v>1.093</v>
      </c>
    </row>
    <row r="211" spans="1:8" ht="12.75">
      <c r="A211" s="314"/>
      <c r="B211" s="341" t="s">
        <v>348</v>
      </c>
      <c r="C211" s="564"/>
      <c r="D211" s="564"/>
      <c r="E211" s="564"/>
      <c r="F211" s="564"/>
      <c r="G211" s="564"/>
      <c r="H211" s="321"/>
    </row>
    <row r="212" spans="1:8" ht="13.5" thickBot="1">
      <c r="A212" s="314"/>
      <c r="B212" s="342" t="s">
        <v>347</v>
      </c>
      <c r="C212" s="801"/>
      <c r="D212" s="801"/>
      <c r="E212" s="801"/>
      <c r="F212" s="801"/>
      <c r="G212" s="801"/>
      <c r="H212" s="736"/>
    </row>
    <row r="213" spans="1:8" ht="13.5" thickBot="1">
      <c r="A213" s="314"/>
      <c r="B213" s="343" t="s">
        <v>65</v>
      </c>
      <c r="C213" s="806">
        <f>SUM(C208:C212)</f>
        <v>109740</v>
      </c>
      <c r="D213" s="806">
        <f>SUM(D208:D212)</f>
        <v>112897</v>
      </c>
      <c r="E213" s="806">
        <f>SUM(E208:E212)</f>
        <v>113402</v>
      </c>
      <c r="F213" s="806">
        <f>SUM(F208:F212)</f>
        <v>114561</v>
      </c>
      <c r="G213" s="806">
        <f>SUM(G208:G212)</f>
        <v>115026</v>
      </c>
      <c r="H213" s="832">
        <f t="shared" si="4"/>
        <v>1.0040589729489093</v>
      </c>
    </row>
    <row r="214" spans="1:8" ht="12.75">
      <c r="A214" s="314"/>
      <c r="B214" s="340" t="s">
        <v>264</v>
      </c>
      <c r="C214" s="564">
        <v>1016</v>
      </c>
      <c r="D214" s="564">
        <v>1016</v>
      </c>
      <c r="E214" s="564">
        <v>1103</v>
      </c>
      <c r="F214" s="564">
        <f>1103-600</f>
        <v>503</v>
      </c>
      <c r="G214" s="564">
        <f>1103-600</f>
        <v>503</v>
      </c>
      <c r="H214" s="321">
        <f t="shared" si="4"/>
        <v>1</v>
      </c>
    </row>
    <row r="215" spans="1:8" ht="12.75">
      <c r="A215" s="314"/>
      <c r="B215" s="340" t="s">
        <v>265</v>
      </c>
      <c r="C215" s="564"/>
      <c r="D215" s="564"/>
      <c r="E215" s="564"/>
      <c r="F215" s="564"/>
      <c r="G215" s="564"/>
      <c r="H215" s="321"/>
    </row>
    <row r="216" spans="1:8" ht="13.5" thickBot="1">
      <c r="A216" s="314"/>
      <c r="B216" s="342" t="s">
        <v>479</v>
      </c>
      <c r="C216" s="801"/>
      <c r="D216" s="801"/>
      <c r="E216" s="801"/>
      <c r="F216" s="801"/>
      <c r="G216" s="801"/>
      <c r="H216" s="736"/>
    </row>
    <row r="217" spans="1:8" ht="13.5" thickBot="1">
      <c r="A217" s="314"/>
      <c r="B217" s="344" t="s">
        <v>71</v>
      </c>
      <c r="C217" s="806">
        <f>SUM(C214:C216)</f>
        <v>1016</v>
      </c>
      <c r="D217" s="806">
        <f>SUM(D214:D216)</f>
        <v>1016</v>
      </c>
      <c r="E217" s="806">
        <f>SUM(E214:E216)</f>
        <v>1103</v>
      </c>
      <c r="F217" s="806">
        <f>SUM(F214:F216)</f>
        <v>503</v>
      </c>
      <c r="G217" s="806">
        <f>SUM(G214:G216)</f>
        <v>503</v>
      </c>
      <c r="H217" s="832">
        <f t="shared" si="4"/>
        <v>1</v>
      </c>
    </row>
    <row r="218" spans="1:10" ht="15.75" thickBot="1">
      <c r="A218" s="311"/>
      <c r="B218" s="345" t="s">
        <v>117</v>
      </c>
      <c r="C218" s="800">
        <f>SUM(C213+C217)</f>
        <v>110756</v>
      </c>
      <c r="D218" s="800">
        <f>SUM(D213+D217)</f>
        <v>113913</v>
      </c>
      <c r="E218" s="800">
        <f>SUM(E213+E217)</f>
        <v>114505</v>
      </c>
      <c r="F218" s="800">
        <f>SUM(F213+F217)</f>
        <v>115064</v>
      </c>
      <c r="G218" s="800">
        <f>SUM(G213+G217)</f>
        <v>115529</v>
      </c>
      <c r="H218" s="1202">
        <f t="shared" si="4"/>
        <v>1.004041229228951</v>
      </c>
      <c r="J218" s="829"/>
    </row>
    <row r="219" spans="1:8" ht="15">
      <c r="A219" s="227">
        <v>2335</v>
      </c>
      <c r="B219" s="229" t="s">
        <v>354</v>
      </c>
      <c r="C219" s="564"/>
      <c r="D219" s="564"/>
      <c r="E219" s="564"/>
      <c r="F219" s="564"/>
      <c r="G219" s="564"/>
      <c r="H219" s="321"/>
    </row>
    <row r="220" spans="1:8" ht="12" customHeight="1">
      <c r="A220" s="314"/>
      <c r="B220" s="316" t="s">
        <v>201</v>
      </c>
      <c r="C220" s="592"/>
      <c r="D220" s="592"/>
      <c r="E220" s="592"/>
      <c r="F220" s="592"/>
      <c r="G220" s="592"/>
      <c r="H220" s="321"/>
    </row>
    <row r="221" spans="1:8" ht="13.5" thickBot="1">
      <c r="A221" s="314"/>
      <c r="B221" s="317" t="s">
        <v>202</v>
      </c>
      <c r="C221" s="803"/>
      <c r="D221" s="803"/>
      <c r="E221" s="803">
        <v>205</v>
      </c>
      <c r="F221" s="803">
        <v>205</v>
      </c>
      <c r="G221" s="803">
        <v>756</v>
      </c>
      <c r="H221" s="736">
        <f t="shared" si="4"/>
        <v>3.6878048780487807</v>
      </c>
    </row>
    <row r="222" spans="1:8" ht="13.5" thickBot="1">
      <c r="A222" s="314"/>
      <c r="B222" s="318" t="s">
        <v>215</v>
      </c>
      <c r="C222" s="804"/>
      <c r="D222" s="804"/>
      <c r="E222" s="804">
        <f>SUM(E221)</f>
        <v>205</v>
      </c>
      <c r="F222" s="804">
        <f>SUM(F221)</f>
        <v>205</v>
      </c>
      <c r="G222" s="804">
        <f>SUM(G221)</f>
        <v>756</v>
      </c>
      <c r="H222" s="832">
        <f t="shared" si="4"/>
        <v>3.6878048780487807</v>
      </c>
    </row>
    <row r="223" spans="1:8" ht="12.75">
      <c r="A223" s="314"/>
      <c r="B223" s="316" t="s">
        <v>204</v>
      </c>
      <c r="C223" s="564"/>
      <c r="D223" s="564"/>
      <c r="E223" s="564"/>
      <c r="F223" s="564"/>
      <c r="G223" s="564"/>
      <c r="H223" s="321"/>
    </row>
    <row r="224" spans="1:8" ht="12.75">
      <c r="A224" s="314"/>
      <c r="B224" s="322" t="s">
        <v>205</v>
      </c>
      <c r="C224" s="805"/>
      <c r="D224" s="805"/>
      <c r="E224" s="805"/>
      <c r="F224" s="805"/>
      <c r="G224" s="805"/>
      <c r="H224" s="321"/>
    </row>
    <row r="225" spans="1:8" ht="12.75">
      <c r="A225" s="314"/>
      <c r="B225" s="322" t="s">
        <v>206</v>
      </c>
      <c r="C225" s="805"/>
      <c r="D225" s="805"/>
      <c r="E225" s="805"/>
      <c r="F225" s="805"/>
      <c r="G225" s="805"/>
      <c r="H225" s="321"/>
    </row>
    <row r="226" spans="1:8" ht="12.75">
      <c r="A226" s="314"/>
      <c r="B226" s="324" t="s">
        <v>207</v>
      </c>
      <c r="C226" s="564"/>
      <c r="D226" s="564"/>
      <c r="E226" s="564"/>
      <c r="F226" s="564"/>
      <c r="G226" s="564"/>
      <c r="H226" s="321"/>
    </row>
    <row r="227" spans="1:8" ht="12.75">
      <c r="A227" s="314"/>
      <c r="B227" s="324" t="s">
        <v>208</v>
      </c>
      <c r="C227" s="564"/>
      <c r="D227" s="564"/>
      <c r="E227" s="564"/>
      <c r="F227" s="564"/>
      <c r="G227" s="564"/>
      <c r="H227" s="321"/>
    </row>
    <row r="228" spans="1:8" ht="12.75">
      <c r="A228" s="314"/>
      <c r="B228" s="324" t="s">
        <v>209</v>
      </c>
      <c r="C228" s="564"/>
      <c r="D228" s="564"/>
      <c r="E228" s="564"/>
      <c r="F228" s="564"/>
      <c r="G228" s="564"/>
      <c r="H228" s="321"/>
    </row>
    <row r="229" spans="1:8" ht="12.75">
      <c r="A229" s="314"/>
      <c r="B229" s="325" t="s">
        <v>500</v>
      </c>
      <c r="C229" s="564"/>
      <c r="D229" s="564"/>
      <c r="E229" s="564"/>
      <c r="F229" s="564"/>
      <c r="G229" s="564"/>
      <c r="H229" s="321"/>
    </row>
    <row r="230" spans="1:8" ht="13.5" thickBot="1">
      <c r="A230" s="314"/>
      <c r="B230" s="326" t="s">
        <v>210</v>
      </c>
      <c r="C230" s="801"/>
      <c r="D230" s="801"/>
      <c r="E230" s="801">
        <v>48</v>
      </c>
      <c r="F230" s="801">
        <v>48</v>
      </c>
      <c r="G230" s="801">
        <v>48</v>
      </c>
      <c r="H230" s="736">
        <f t="shared" si="4"/>
        <v>1</v>
      </c>
    </row>
    <row r="231" spans="1:8" ht="13.5" thickBot="1">
      <c r="A231" s="314"/>
      <c r="B231" s="328" t="s">
        <v>366</v>
      </c>
      <c r="C231" s="806"/>
      <c r="D231" s="806"/>
      <c r="E231" s="806">
        <f>SUM(E230)</f>
        <v>48</v>
      </c>
      <c r="F231" s="806">
        <f>SUM(F230)</f>
        <v>48</v>
      </c>
      <c r="G231" s="806">
        <f>SUM(G230)</f>
        <v>48</v>
      </c>
      <c r="H231" s="832">
        <f t="shared" si="4"/>
        <v>1</v>
      </c>
    </row>
    <row r="232" spans="1:8" ht="13.5" thickBot="1">
      <c r="A232" s="314"/>
      <c r="B232" s="147" t="s">
        <v>240</v>
      </c>
      <c r="C232" s="806"/>
      <c r="D232" s="806"/>
      <c r="E232" s="806"/>
      <c r="F232" s="806"/>
      <c r="G232" s="806"/>
      <c r="H232" s="831"/>
    </row>
    <row r="233" spans="1:8" ht="13.5" thickBot="1">
      <c r="A233" s="314"/>
      <c r="B233" s="587" t="s">
        <v>241</v>
      </c>
      <c r="C233" s="806"/>
      <c r="D233" s="806"/>
      <c r="E233" s="806"/>
      <c r="F233" s="806">
        <f>F232</f>
        <v>0</v>
      </c>
      <c r="G233" s="806">
        <f>G232</f>
        <v>0</v>
      </c>
      <c r="H233" s="831"/>
    </row>
    <row r="234" spans="1:8" ht="13.5" thickBot="1">
      <c r="A234" s="314"/>
      <c r="B234" s="331" t="s">
        <v>72</v>
      </c>
      <c r="C234" s="807"/>
      <c r="D234" s="807"/>
      <c r="E234" s="807">
        <f>SUM(E231+E222)</f>
        <v>253</v>
      </c>
      <c r="F234" s="807">
        <f>SUM(F231+F222+F233)</f>
        <v>253</v>
      </c>
      <c r="G234" s="807">
        <f>SUM(G231+G222+G233)</f>
        <v>804</v>
      </c>
      <c r="H234" s="832">
        <f t="shared" si="4"/>
        <v>3.177865612648221</v>
      </c>
    </row>
    <row r="235" spans="1:8" ht="13.5" thickBot="1">
      <c r="A235" s="314"/>
      <c r="B235" s="793" t="s">
        <v>514</v>
      </c>
      <c r="C235" s="795"/>
      <c r="D235" s="795"/>
      <c r="E235" s="795">
        <v>308</v>
      </c>
      <c r="F235" s="795">
        <v>308</v>
      </c>
      <c r="G235" s="795">
        <v>308</v>
      </c>
      <c r="H235" s="831">
        <f t="shared" si="4"/>
        <v>1</v>
      </c>
    </row>
    <row r="236" spans="1:8" ht="13.5" thickBot="1">
      <c r="A236" s="314"/>
      <c r="B236" s="333" t="s">
        <v>73</v>
      </c>
      <c r="C236" s="796"/>
      <c r="D236" s="796"/>
      <c r="E236" s="796">
        <f>SUM(E235)</f>
        <v>308</v>
      </c>
      <c r="F236" s="796">
        <f>SUM(F235)</f>
        <v>308</v>
      </c>
      <c r="G236" s="796">
        <f>SUM(G235)</f>
        <v>308</v>
      </c>
      <c r="H236" s="832">
        <f t="shared" si="4"/>
        <v>1</v>
      </c>
    </row>
    <row r="237" spans="1:8" ht="12.75">
      <c r="A237" s="314"/>
      <c r="B237" s="785" t="s">
        <v>470</v>
      </c>
      <c r="C237" s="565"/>
      <c r="D237" s="565">
        <v>616</v>
      </c>
      <c r="E237" s="565">
        <v>616</v>
      </c>
      <c r="F237" s="565">
        <v>616</v>
      </c>
      <c r="G237" s="565">
        <v>616</v>
      </c>
      <c r="H237" s="321">
        <f t="shared" si="4"/>
        <v>1</v>
      </c>
    </row>
    <row r="238" spans="1:8" ht="13.5" thickBot="1">
      <c r="A238" s="314"/>
      <c r="B238" s="336" t="s">
        <v>507</v>
      </c>
      <c r="C238" s="801">
        <v>78536</v>
      </c>
      <c r="D238" s="801">
        <v>81512</v>
      </c>
      <c r="E238" s="801">
        <v>81512</v>
      </c>
      <c r="F238" s="801">
        <f>81512+544</f>
        <v>82056</v>
      </c>
      <c r="G238" s="801">
        <f>81512+544</f>
        <v>82056</v>
      </c>
      <c r="H238" s="736">
        <f t="shared" si="4"/>
        <v>1</v>
      </c>
    </row>
    <row r="239" spans="1:8" ht="13.5" thickBot="1">
      <c r="A239" s="314"/>
      <c r="B239" s="337" t="s">
        <v>66</v>
      </c>
      <c r="C239" s="799">
        <f>SUM(C237:C238)</f>
        <v>78536</v>
      </c>
      <c r="D239" s="799">
        <f>SUM(D237:D238)</f>
        <v>82128</v>
      </c>
      <c r="E239" s="799">
        <f>SUM(E237:E238)</f>
        <v>82128</v>
      </c>
      <c r="F239" s="799">
        <f>SUM(F237:F238)</f>
        <v>82672</v>
      </c>
      <c r="G239" s="799">
        <f>SUM(G237:G238)</f>
        <v>82672</v>
      </c>
      <c r="H239" s="832">
        <f t="shared" si="4"/>
        <v>1</v>
      </c>
    </row>
    <row r="240" spans="1:8" ht="13.5" thickBot="1">
      <c r="A240" s="314"/>
      <c r="B240" s="249" t="s">
        <v>470</v>
      </c>
      <c r="C240" s="795"/>
      <c r="D240" s="795"/>
      <c r="E240" s="795"/>
      <c r="F240" s="795"/>
      <c r="G240" s="795"/>
      <c r="H240" s="831"/>
    </row>
    <row r="241" spans="1:8" ht="13.5" thickBot="1">
      <c r="A241" s="314"/>
      <c r="B241" s="337" t="s">
        <v>68</v>
      </c>
      <c r="C241" s="799">
        <f>SUM(C240)</f>
        <v>0</v>
      </c>
      <c r="D241" s="799">
        <f>SUM(D240)</f>
        <v>0</v>
      </c>
      <c r="E241" s="799">
        <f>SUM(E240)</f>
        <v>0</v>
      </c>
      <c r="F241" s="799">
        <f>SUM(F240)</f>
        <v>0</v>
      </c>
      <c r="G241" s="799">
        <f>SUM(G240)</f>
        <v>0</v>
      </c>
      <c r="H241" s="831"/>
    </row>
    <row r="242" spans="1:8" ht="15.75" thickBot="1">
      <c r="A242" s="314"/>
      <c r="B242" s="339" t="s">
        <v>80</v>
      </c>
      <c r="C242" s="800">
        <f>SUM(C234+C236+C239+C241)</f>
        <v>78536</v>
      </c>
      <c r="D242" s="800">
        <f>SUM(D234+D236+D239+D241)</f>
        <v>82128</v>
      </c>
      <c r="E242" s="800">
        <f>SUM(E234+E236+E239+E241)</f>
        <v>82689</v>
      </c>
      <c r="F242" s="800">
        <f>SUM(F234+F236+F239+F241)</f>
        <v>83233</v>
      </c>
      <c r="G242" s="800">
        <f>SUM(G234+G236+G239+G241)</f>
        <v>83784</v>
      </c>
      <c r="H242" s="832">
        <f t="shared" si="4"/>
        <v>1.006619970444415</v>
      </c>
    </row>
    <row r="243" spans="1:8" ht="12.75">
      <c r="A243" s="314"/>
      <c r="B243" s="340" t="s">
        <v>344</v>
      </c>
      <c r="C243" s="564">
        <v>60710</v>
      </c>
      <c r="D243" s="564">
        <v>63094</v>
      </c>
      <c r="E243" s="564">
        <v>63094</v>
      </c>
      <c r="F243" s="564">
        <f>63094+455</f>
        <v>63549</v>
      </c>
      <c r="G243" s="564">
        <v>63099</v>
      </c>
      <c r="H243" s="321">
        <f t="shared" si="4"/>
        <v>0.9929188500212435</v>
      </c>
    </row>
    <row r="244" spans="1:8" ht="12.75">
      <c r="A244" s="314"/>
      <c r="B244" s="340" t="s">
        <v>345</v>
      </c>
      <c r="C244" s="564">
        <v>12358</v>
      </c>
      <c r="D244" s="564">
        <v>12822</v>
      </c>
      <c r="E244" s="564">
        <v>12822</v>
      </c>
      <c r="F244" s="564">
        <f>12822+89</f>
        <v>12911</v>
      </c>
      <c r="G244" s="564">
        <f>12822+89</f>
        <v>12911</v>
      </c>
      <c r="H244" s="321">
        <f t="shared" si="4"/>
        <v>1</v>
      </c>
    </row>
    <row r="245" spans="1:8" ht="12.75">
      <c r="A245" s="314"/>
      <c r="B245" s="340" t="s">
        <v>346</v>
      </c>
      <c r="C245" s="564">
        <v>2674</v>
      </c>
      <c r="D245" s="564">
        <v>3418</v>
      </c>
      <c r="E245" s="564">
        <v>3671</v>
      </c>
      <c r="F245" s="564">
        <v>3671</v>
      </c>
      <c r="G245" s="564">
        <v>4222</v>
      </c>
      <c r="H245" s="321">
        <f t="shared" si="4"/>
        <v>1.1500953418687005</v>
      </c>
    </row>
    <row r="246" spans="1:8" ht="12.75">
      <c r="A246" s="314"/>
      <c r="B246" s="341" t="s">
        <v>348</v>
      </c>
      <c r="C246" s="564"/>
      <c r="D246" s="564"/>
      <c r="E246" s="564"/>
      <c r="F246" s="564"/>
      <c r="G246" s="564"/>
      <c r="H246" s="321"/>
    </row>
    <row r="247" spans="1:8" ht="13.5" thickBot="1">
      <c r="A247" s="314"/>
      <c r="B247" s="342" t="s">
        <v>347</v>
      </c>
      <c r="C247" s="801"/>
      <c r="D247" s="801"/>
      <c r="E247" s="801"/>
      <c r="F247" s="801"/>
      <c r="G247" s="801"/>
      <c r="H247" s="736"/>
    </row>
    <row r="248" spans="1:8" ht="13.5" thickBot="1">
      <c r="A248" s="314"/>
      <c r="B248" s="343" t="s">
        <v>65</v>
      </c>
      <c r="C248" s="802">
        <f>SUM(C243:C247)</f>
        <v>75742</v>
      </c>
      <c r="D248" s="802">
        <f>SUM(D243:D247)</f>
        <v>79334</v>
      </c>
      <c r="E248" s="802">
        <f>SUM(E243:E247)</f>
        <v>79587</v>
      </c>
      <c r="F248" s="802">
        <f>SUM(F243:F247)</f>
        <v>80131</v>
      </c>
      <c r="G248" s="802">
        <f>SUM(G243:G247)</f>
        <v>80232</v>
      </c>
      <c r="H248" s="832">
        <f t="shared" si="4"/>
        <v>1.0012604360359911</v>
      </c>
    </row>
    <row r="249" spans="1:8" ht="12.75">
      <c r="A249" s="314"/>
      <c r="B249" s="340" t="s">
        <v>264</v>
      </c>
      <c r="C249" s="564">
        <v>2794</v>
      </c>
      <c r="D249" s="564">
        <v>2794</v>
      </c>
      <c r="E249" s="564">
        <v>3102</v>
      </c>
      <c r="F249" s="564">
        <v>3102</v>
      </c>
      <c r="G249" s="564">
        <v>3552</v>
      </c>
      <c r="H249" s="321">
        <f t="shared" si="4"/>
        <v>1.1450676982591876</v>
      </c>
    </row>
    <row r="250" spans="1:8" ht="12.75">
      <c r="A250" s="314"/>
      <c r="B250" s="340" t="s">
        <v>265</v>
      </c>
      <c r="C250" s="564"/>
      <c r="D250" s="564"/>
      <c r="E250" s="564"/>
      <c r="F250" s="564"/>
      <c r="G250" s="564"/>
      <c r="H250" s="321"/>
    </row>
    <row r="251" spans="1:8" ht="13.5" thickBot="1">
      <c r="A251" s="314"/>
      <c r="B251" s="342" t="s">
        <v>479</v>
      </c>
      <c r="C251" s="801"/>
      <c r="D251" s="801"/>
      <c r="E251" s="801"/>
      <c r="F251" s="801"/>
      <c r="G251" s="801"/>
      <c r="H251" s="736"/>
    </row>
    <row r="252" spans="1:8" ht="13.5" thickBot="1">
      <c r="A252" s="314"/>
      <c r="B252" s="344" t="s">
        <v>71</v>
      </c>
      <c r="C252" s="802">
        <f>SUM(C249:C251)</f>
        <v>2794</v>
      </c>
      <c r="D252" s="802">
        <f>SUM(D249:D251)</f>
        <v>2794</v>
      </c>
      <c r="E252" s="802">
        <f>SUM(E249:E251)</f>
        <v>3102</v>
      </c>
      <c r="F252" s="802">
        <f>SUM(F249:F251)</f>
        <v>3102</v>
      </c>
      <c r="G252" s="802">
        <f>SUM(G249:G251)</f>
        <v>3552</v>
      </c>
      <c r="H252" s="832">
        <f t="shared" si="4"/>
        <v>1.1450676982591876</v>
      </c>
    </row>
    <row r="253" spans="1:10" ht="15.75" thickBot="1">
      <c r="A253" s="311"/>
      <c r="B253" s="345" t="s">
        <v>117</v>
      </c>
      <c r="C253" s="800">
        <f>SUM(C248+C252)</f>
        <v>78536</v>
      </c>
      <c r="D253" s="800">
        <f>SUM(D248+D252)</f>
        <v>82128</v>
      </c>
      <c r="E253" s="800">
        <f>SUM(E248+E252)</f>
        <v>82689</v>
      </c>
      <c r="F253" s="800">
        <f>SUM(F248+F252)</f>
        <v>83233</v>
      </c>
      <c r="G253" s="800">
        <f>SUM(G248+G252)</f>
        <v>83784</v>
      </c>
      <c r="H253" s="1202">
        <f t="shared" si="4"/>
        <v>1.006619970444415</v>
      </c>
      <c r="J253" s="829"/>
    </row>
    <row r="254" spans="1:8" ht="15">
      <c r="A254" s="226">
        <v>2345</v>
      </c>
      <c r="B254" s="348" t="s">
        <v>355</v>
      </c>
      <c r="C254" s="564"/>
      <c r="D254" s="564"/>
      <c r="E254" s="564"/>
      <c r="F254" s="564"/>
      <c r="G254" s="564"/>
      <c r="H254" s="321"/>
    </row>
    <row r="255" spans="1:8" ht="12" customHeight="1">
      <c r="A255" s="314"/>
      <c r="B255" s="316" t="s">
        <v>201</v>
      </c>
      <c r="C255" s="592"/>
      <c r="D255" s="592"/>
      <c r="E255" s="592"/>
      <c r="F255" s="592"/>
      <c r="G255" s="592"/>
      <c r="H255" s="321"/>
    </row>
    <row r="256" spans="1:8" ht="13.5" thickBot="1">
      <c r="A256" s="314"/>
      <c r="B256" s="317" t="s">
        <v>202</v>
      </c>
      <c r="C256" s="803"/>
      <c r="D256" s="803"/>
      <c r="E256" s="803">
        <v>670</v>
      </c>
      <c r="F256" s="803">
        <v>670</v>
      </c>
      <c r="G256" s="803">
        <v>1774</v>
      </c>
      <c r="H256" s="736">
        <f t="shared" si="4"/>
        <v>2.647761194029851</v>
      </c>
    </row>
    <row r="257" spans="1:8" ht="13.5" thickBot="1">
      <c r="A257" s="314"/>
      <c r="B257" s="318" t="s">
        <v>215</v>
      </c>
      <c r="C257" s="804"/>
      <c r="D257" s="804"/>
      <c r="E257" s="811">
        <f>SUM(E256)</f>
        <v>670</v>
      </c>
      <c r="F257" s="811">
        <f>SUM(F256)</f>
        <v>670</v>
      </c>
      <c r="G257" s="811">
        <f>SUM(G256)</f>
        <v>1774</v>
      </c>
      <c r="H257" s="832">
        <f t="shared" si="4"/>
        <v>2.647761194029851</v>
      </c>
    </row>
    <row r="258" spans="1:8" ht="12.75">
      <c r="A258" s="314"/>
      <c r="B258" s="316" t="s">
        <v>204</v>
      </c>
      <c r="C258" s="564"/>
      <c r="D258" s="564"/>
      <c r="E258" s="564"/>
      <c r="F258" s="564"/>
      <c r="G258" s="564"/>
      <c r="H258" s="321"/>
    </row>
    <row r="259" spans="1:8" ht="12.75">
      <c r="A259" s="314"/>
      <c r="B259" s="322" t="s">
        <v>205</v>
      </c>
      <c r="C259" s="805"/>
      <c r="D259" s="805"/>
      <c r="E259" s="805"/>
      <c r="F259" s="805"/>
      <c r="G259" s="805"/>
      <c r="H259" s="321"/>
    </row>
    <row r="260" spans="1:8" ht="12.75">
      <c r="A260" s="314"/>
      <c r="B260" s="322" t="s">
        <v>206</v>
      </c>
      <c r="C260" s="805"/>
      <c r="D260" s="805"/>
      <c r="E260" s="805"/>
      <c r="F260" s="805"/>
      <c r="G260" s="805"/>
      <c r="H260" s="321"/>
    </row>
    <row r="261" spans="1:8" ht="12.75">
      <c r="A261" s="314"/>
      <c r="B261" s="324" t="s">
        <v>207</v>
      </c>
      <c r="C261" s="564"/>
      <c r="D261" s="564"/>
      <c r="E261" s="564"/>
      <c r="F261" s="564"/>
      <c r="G261" s="564"/>
      <c r="H261" s="321"/>
    </row>
    <row r="262" spans="1:8" ht="12.75">
      <c r="A262" s="314"/>
      <c r="B262" s="324" t="s">
        <v>208</v>
      </c>
      <c r="C262" s="564"/>
      <c r="D262" s="564"/>
      <c r="E262" s="564"/>
      <c r="F262" s="564"/>
      <c r="G262" s="564"/>
      <c r="H262" s="321"/>
    </row>
    <row r="263" spans="1:8" ht="12.75">
      <c r="A263" s="314"/>
      <c r="B263" s="324" t="s">
        <v>209</v>
      </c>
      <c r="C263" s="564"/>
      <c r="D263" s="564"/>
      <c r="E263" s="564"/>
      <c r="F263" s="564"/>
      <c r="G263" s="564"/>
      <c r="H263" s="321"/>
    </row>
    <row r="264" spans="1:8" ht="12.75">
      <c r="A264" s="314"/>
      <c r="B264" s="325" t="s">
        <v>500</v>
      </c>
      <c r="C264" s="564"/>
      <c r="D264" s="564"/>
      <c r="E264" s="564"/>
      <c r="F264" s="564"/>
      <c r="G264" s="564"/>
      <c r="H264" s="321"/>
    </row>
    <row r="265" spans="1:8" ht="13.5" thickBot="1">
      <c r="A265" s="314"/>
      <c r="B265" s="326" t="s">
        <v>210</v>
      </c>
      <c r="C265" s="564"/>
      <c r="D265" s="564"/>
      <c r="E265" s="564">
        <v>40</v>
      </c>
      <c r="F265" s="564">
        <v>40</v>
      </c>
      <c r="G265" s="564">
        <v>43</v>
      </c>
      <c r="H265" s="736">
        <f t="shared" si="4"/>
        <v>1.075</v>
      </c>
    </row>
    <row r="266" spans="1:8" ht="13.5" thickBot="1">
      <c r="A266" s="314"/>
      <c r="B266" s="328" t="s">
        <v>366</v>
      </c>
      <c r="C266" s="802"/>
      <c r="D266" s="802"/>
      <c r="E266" s="802">
        <f>SUM(E265)</f>
        <v>40</v>
      </c>
      <c r="F266" s="802">
        <f>SUM(F265)</f>
        <v>40</v>
      </c>
      <c r="G266" s="802">
        <f>SUM(G265)</f>
        <v>43</v>
      </c>
      <c r="H266" s="832">
        <f t="shared" si="4"/>
        <v>1.075</v>
      </c>
    </row>
    <row r="267" spans="1:8" ht="13.5" thickBot="1">
      <c r="A267" s="314"/>
      <c r="B267" s="147" t="s">
        <v>240</v>
      </c>
      <c r="C267" s="806"/>
      <c r="D267" s="806"/>
      <c r="E267" s="806"/>
      <c r="F267" s="806"/>
      <c r="G267" s="806"/>
      <c r="H267" s="831"/>
    </row>
    <row r="268" spans="1:8" ht="13.5" thickBot="1">
      <c r="A268" s="314"/>
      <c r="B268" s="587" t="s">
        <v>241</v>
      </c>
      <c r="C268" s="806"/>
      <c r="D268" s="806"/>
      <c r="E268" s="806"/>
      <c r="F268" s="806">
        <f>F267</f>
        <v>0</v>
      </c>
      <c r="G268" s="806">
        <f>G267</f>
        <v>0</v>
      </c>
      <c r="H268" s="831"/>
    </row>
    <row r="269" spans="1:8" ht="13.5" thickBot="1">
      <c r="A269" s="314"/>
      <c r="B269" s="331" t="s">
        <v>72</v>
      </c>
      <c r="C269" s="807"/>
      <c r="D269" s="807"/>
      <c r="E269" s="807">
        <f>SUM(E266+E257)</f>
        <v>710</v>
      </c>
      <c r="F269" s="807">
        <f>SUM(F266+F257+F268)</f>
        <v>710</v>
      </c>
      <c r="G269" s="807">
        <f>SUM(G266+G257+G268)</f>
        <v>1817</v>
      </c>
      <c r="H269" s="832">
        <f aca="true" t="shared" si="5" ref="H269:H331">SUM(G269/F269)</f>
        <v>2.5591549295774647</v>
      </c>
    </row>
    <row r="270" spans="1:8" ht="13.5" thickBot="1">
      <c r="A270" s="314"/>
      <c r="B270" s="793" t="s">
        <v>514</v>
      </c>
      <c r="C270" s="795"/>
      <c r="D270" s="795"/>
      <c r="E270" s="795">
        <v>58</v>
      </c>
      <c r="F270" s="795">
        <v>58</v>
      </c>
      <c r="G270" s="795">
        <v>58</v>
      </c>
      <c r="H270" s="831">
        <f t="shared" si="5"/>
        <v>1</v>
      </c>
    </row>
    <row r="271" spans="1:8" ht="13.5" thickBot="1">
      <c r="A271" s="314"/>
      <c r="B271" s="333" t="s">
        <v>73</v>
      </c>
      <c r="C271" s="796"/>
      <c r="D271" s="796"/>
      <c r="E271" s="796">
        <f>SUM(E270)</f>
        <v>58</v>
      </c>
      <c r="F271" s="796">
        <f>SUM(F270)</f>
        <v>58</v>
      </c>
      <c r="G271" s="796">
        <f>SUM(G270)</f>
        <v>58</v>
      </c>
      <c r="H271" s="832">
        <f t="shared" si="5"/>
        <v>1</v>
      </c>
    </row>
    <row r="272" spans="1:8" ht="12.75">
      <c r="A272" s="314"/>
      <c r="B272" s="785" t="s">
        <v>470</v>
      </c>
      <c r="C272" s="565"/>
      <c r="D272" s="565">
        <v>1022</v>
      </c>
      <c r="E272" s="565">
        <v>1022</v>
      </c>
      <c r="F272" s="565">
        <v>1022</v>
      </c>
      <c r="G272" s="565">
        <v>1022</v>
      </c>
      <c r="H272" s="321">
        <f t="shared" si="5"/>
        <v>1</v>
      </c>
    </row>
    <row r="273" spans="1:8" ht="13.5" thickBot="1">
      <c r="A273" s="314"/>
      <c r="B273" s="336" t="s">
        <v>507</v>
      </c>
      <c r="C273" s="801">
        <v>72074</v>
      </c>
      <c r="D273" s="801">
        <v>74327</v>
      </c>
      <c r="E273" s="801">
        <v>74406</v>
      </c>
      <c r="F273" s="801">
        <f>74406+20+582</f>
        <v>75008</v>
      </c>
      <c r="G273" s="801">
        <v>75026</v>
      </c>
      <c r="H273" s="736">
        <f t="shared" si="5"/>
        <v>1.0002399744027304</v>
      </c>
    </row>
    <row r="274" spans="1:8" ht="13.5" thickBot="1">
      <c r="A274" s="314"/>
      <c r="B274" s="337" t="s">
        <v>66</v>
      </c>
      <c r="C274" s="799">
        <f>SUM(C272:C273)</f>
        <v>72074</v>
      </c>
      <c r="D274" s="799">
        <f>SUM(D272:D273)</f>
        <v>75349</v>
      </c>
      <c r="E274" s="799">
        <f>SUM(E272:E273)</f>
        <v>75428</v>
      </c>
      <c r="F274" s="799">
        <f>SUM(F272:F273)</f>
        <v>76030</v>
      </c>
      <c r="G274" s="799">
        <f>SUM(G272:G273)</f>
        <v>76048</v>
      </c>
      <c r="H274" s="832">
        <f t="shared" si="5"/>
        <v>1.000236748651848</v>
      </c>
    </row>
    <row r="275" spans="1:8" ht="13.5" thickBot="1">
      <c r="A275" s="314"/>
      <c r="B275" s="249" t="s">
        <v>470</v>
      </c>
      <c r="C275" s="795"/>
      <c r="D275" s="795"/>
      <c r="E275" s="795"/>
      <c r="F275" s="795"/>
      <c r="G275" s="795"/>
      <c r="H275" s="831"/>
    </row>
    <row r="276" spans="1:8" ht="13.5" thickBot="1">
      <c r="A276" s="314"/>
      <c r="B276" s="337" t="s">
        <v>68</v>
      </c>
      <c r="C276" s="799"/>
      <c r="D276" s="799"/>
      <c r="E276" s="799"/>
      <c r="F276" s="799"/>
      <c r="G276" s="799"/>
      <c r="H276" s="831"/>
    </row>
    <row r="277" spans="1:8" ht="15.75" thickBot="1">
      <c r="A277" s="314"/>
      <c r="B277" s="339" t="s">
        <v>80</v>
      </c>
      <c r="C277" s="800">
        <f>SUM(C269+C271+C274+C276)</f>
        <v>72074</v>
      </c>
      <c r="D277" s="800">
        <f>SUM(D269+D271+D274+D276)</f>
        <v>75349</v>
      </c>
      <c r="E277" s="800">
        <f>SUM(E269+E271+E274+E276)</f>
        <v>76196</v>
      </c>
      <c r="F277" s="800">
        <f>SUM(F269+F271+F274+F276)</f>
        <v>76798</v>
      </c>
      <c r="G277" s="800">
        <f>SUM(G269+G271+G274+G276)</f>
        <v>77923</v>
      </c>
      <c r="H277" s="1202">
        <f t="shared" si="5"/>
        <v>1.014648818979661</v>
      </c>
    </row>
    <row r="278" spans="1:8" ht="12.75">
      <c r="A278" s="314"/>
      <c r="B278" s="340" t="s">
        <v>344</v>
      </c>
      <c r="C278" s="564">
        <v>56923</v>
      </c>
      <c r="D278" s="564">
        <v>58700</v>
      </c>
      <c r="E278" s="564">
        <v>58766</v>
      </c>
      <c r="F278" s="564">
        <f>58766+17+487</f>
        <v>59270</v>
      </c>
      <c r="G278" s="564">
        <v>59285</v>
      </c>
      <c r="H278" s="321">
        <f t="shared" si="5"/>
        <v>1.0002530791294078</v>
      </c>
    </row>
    <row r="279" spans="1:8" ht="12.75">
      <c r="A279" s="314"/>
      <c r="B279" s="340" t="s">
        <v>345</v>
      </c>
      <c r="C279" s="564">
        <v>11625</v>
      </c>
      <c r="D279" s="564">
        <v>11973</v>
      </c>
      <c r="E279" s="564">
        <v>11986</v>
      </c>
      <c r="F279" s="564">
        <f>11986+3+95</f>
        <v>12084</v>
      </c>
      <c r="G279" s="564">
        <v>12087</v>
      </c>
      <c r="H279" s="321">
        <f t="shared" si="5"/>
        <v>1.000248262164846</v>
      </c>
    </row>
    <row r="280" spans="1:8" ht="12.75">
      <c r="A280" s="314"/>
      <c r="B280" s="340" t="s">
        <v>346</v>
      </c>
      <c r="C280" s="564">
        <v>2764</v>
      </c>
      <c r="D280" s="564">
        <v>3914</v>
      </c>
      <c r="E280" s="564">
        <v>4624</v>
      </c>
      <c r="F280" s="564">
        <v>4624</v>
      </c>
      <c r="G280" s="564">
        <v>5731</v>
      </c>
      <c r="H280" s="321">
        <f t="shared" si="5"/>
        <v>1.2394031141868511</v>
      </c>
    </row>
    <row r="281" spans="1:8" ht="12.75">
      <c r="A281" s="314"/>
      <c r="B281" s="341" t="s">
        <v>348</v>
      </c>
      <c r="C281" s="564"/>
      <c r="D281" s="564"/>
      <c r="E281" s="564"/>
      <c r="F281" s="564"/>
      <c r="G281" s="564"/>
      <c r="H281" s="321"/>
    </row>
    <row r="282" spans="1:8" ht="13.5" thickBot="1">
      <c r="A282" s="314"/>
      <c r="B282" s="342" t="s">
        <v>347</v>
      </c>
      <c r="C282" s="564"/>
      <c r="D282" s="564"/>
      <c r="E282" s="564"/>
      <c r="F282" s="564"/>
      <c r="G282" s="564"/>
      <c r="H282" s="736"/>
    </row>
    <row r="283" spans="1:8" ht="13.5" thickBot="1">
      <c r="A283" s="314"/>
      <c r="B283" s="343" t="s">
        <v>65</v>
      </c>
      <c r="C283" s="802">
        <f>SUM(C278:C282)</f>
        <v>71312</v>
      </c>
      <c r="D283" s="802">
        <f>SUM(D278:D282)</f>
        <v>74587</v>
      </c>
      <c r="E283" s="802">
        <f>SUM(E278:E282)</f>
        <v>75376</v>
      </c>
      <c r="F283" s="802">
        <f>SUM(F278:F282)</f>
        <v>75978</v>
      </c>
      <c r="G283" s="802">
        <f>SUM(G278:G282)</f>
        <v>77103</v>
      </c>
      <c r="H283" s="832">
        <f t="shared" si="5"/>
        <v>1.0148069177919925</v>
      </c>
    </row>
    <row r="284" spans="1:8" ht="12.75">
      <c r="A284" s="314"/>
      <c r="B284" s="340" t="s">
        <v>264</v>
      </c>
      <c r="C284" s="564">
        <v>762</v>
      </c>
      <c r="D284" s="564">
        <v>762</v>
      </c>
      <c r="E284" s="564">
        <v>820</v>
      </c>
      <c r="F284" s="564">
        <v>820</v>
      </c>
      <c r="G284" s="564">
        <v>820</v>
      </c>
      <c r="H284" s="321">
        <f t="shared" si="5"/>
        <v>1</v>
      </c>
    </row>
    <row r="285" spans="1:8" ht="12.75">
      <c r="A285" s="314"/>
      <c r="B285" s="340" t="s">
        <v>265</v>
      </c>
      <c r="C285" s="564"/>
      <c r="D285" s="564"/>
      <c r="E285" s="564"/>
      <c r="F285" s="564"/>
      <c r="G285" s="564"/>
      <c r="H285" s="321"/>
    </row>
    <row r="286" spans="1:8" ht="13.5" thickBot="1">
      <c r="A286" s="314"/>
      <c r="B286" s="342" t="s">
        <v>479</v>
      </c>
      <c r="C286" s="564"/>
      <c r="D286" s="564"/>
      <c r="E286" s="564"/>
      <c r="F286" s="564"/>
      <c r="G286" s="564"/>
      <c r="H286" s="736"/>
    </row>
    <row r="287" spans="1:8" ht="13.5" thickBot="1">
      <c r="A287" s="314"/>
      <c r="B287" s="344" t="s">
        <v>71</v>
      </c>
      <c r="C287" s="802">
        <f>SUM(C284:C286)</f>
        <v>762</v>
      </c>
      <c r="D287" s="802">
        <f>SUM(D284:D286)</f>
        <v>762</v>
      </c>
      <c r="E287" s="802">
        <f>SUM(E284:E286)</f>
        <v>820</v>
      </c>
      <c r="F287" s="802">
        <f>SUM(F284:F286)</f>
        <v>820</v>
      </c>
      <c r="G287" s="802">
        <f>SUM(G284:G286)</f>
        <v>820</v>
      </c>
      <c r="H287" s="832">
        <f t="shared" si="5"/>
        <v>1</v>
      </c>
    </row>
    <row r="288" spans="1:10" ht="15.75" thickBot="1">
      <c r="A288" s="311"/>
      <c r="B288" s="345" t="s">
        <v>117</v>
      </c>
      <c r="C288" s="800">
        <f>SUM(C283+C287)</f>
        <v>72074</v>
      </c>
      <c r="D288" s="800">
        <f>SUM(D283+D287)</f>
        <v>75349</v>
      </c>
      <c r="E288" s="800">
        <f>SUM(E283+E287)</f>
        <v>76196</v>
      </c>
      <c r="F288" s="800">
        <f>SUM(F283+F287)</f>
        <v>76798</v>
      </c>
      <c r="G288" s="800">
        <f>SUM(G283+G287)</f>
        <v>77923</v>
      </c>
      <c r="H288" s="832">
        <f t="shared" si="5"/>
        <v>1.014648818979661</v>
      </c>
      <c r="J288" s="829"/>
    </row>
    <row r="289" spans="1:8" ht="15">
      <c r="A289" s="226">
        <v>2360</v>
      </c>
      <c r="B289" s="347" t="s">
        <v>356</v>
      </c>
      <c r="C289" s="564"/>
      <c r="D289" s="564"/>
      <c r="E289" s="564"/>
      <c r="F289" s="564"/>
      <c r="G289" s="564"/>
      <c r="H289" s="321"/>
    </row>
    <row r="290" spans="1:8" ht="12.75" customHeight="1">
      <c r="A290" s="314"/>
      <c r="B290" s="316" t="s">
        <v>201</v>
      </c>
      <c r="C290" s="592"/>
      <c r="D290" s="592"/>
      <c r="E290" s="592"/>
      <c r="F290" s="592"/>
      <c r="G290" s="592"/>
      <c r="H290" s="321"/>
    </row>
    <row r="291" spans="1:8" ht="13.5" thickBot="1">
      <c r="A291" s="314"/>
      <c r="B291" s="317" t="s">
        <v>202</v>
      </c>
      <c r="C291" s="803"/>
      <c r="D291" s="803"/>
      <c r="E291" s="803">
        <v>180</v>
      </c>
      <c r="F291" s="803">
        <v>180</v>
      </c>
      <c r="G291" s="803">
        <v>950</v>
      </c>
      <c r="H291" s="736">
        <f t="shared" si="5"/>
        <v>5.277777777777778</v>
      </c>
    </row>
    <row r="292" spans="1:8" ht="13.5" thickBot="1">
      <c r="A292" s="314"/>
      <c r="B292" s="318" t="s">
        <v>215</v>
      </c>
      <c r="C292" s="804"/>
      <c r="D292" s="804"/>
      <c r="E292" s="804">
        <f>SUM(E291)</f>
        <v>180</v>
      </c>
      <c r="F292" s="804">
        <f>SUM(F291)</f>
        <v>180</v>
      </c>
      <c r="G292" s="804">
        <f>SUM(G291)</f>
        <v>950</v>
      </c>
      <c r="H292" s="832">
        <f t="shared" si="5"/>
        <v>5.277777777777778</v>
      </c>
    </row>
    <row r="293" spans="1:8" ht="12.75">
      <c r="A293" s="314"/>
      <c r="B293" s="316" t="s">
        <v>204</v>
      </c>
      <c r="C293" s="564"/>
      <c r="D293" s="564"/>
      <c r="E293" s="564"/>
      <c r="F293" s="564"/>
      <c r="G293" s="564"/>
      <c r="H293" s="321"/>
    </row>
    <row r="294" spans="1:8" ht="12.75">
      <c r="A294" s="314"/>
      <c r="B294" s="322" t="s">
        <v>205</v>
      </c>
      <c r="C294" s="805"/>
      <c r="D294" s="805"/>
      <c r="E294" s="805"/>
      <c r="F294" s="805"/>
      <c r="G294" s="805"/>
      <c r="H294" s="321"/>
    </row>
    <row r="295" spans="1:8" ht="12.75">
      <c r="A295" s="314"/>
      <c r="B295" s="322" t="s">
        <v>206</v>
      </c>
      <c r="C295" s="805"/>
      <c r="D295" s="805"/>
      <c r="E295" s="805"/>
      <c r="F295" s="805"/>
      <c r="G295" s="805"/>
      <c r="H295" s="321"/>
    </row>
    <row r="296" spans="1:8" ht="12.75">
      <c r="A296" s="314"/>
      <c r="B296" s="324" t="s">
        <v>207</v>
      </c>
      <c r="C296" s="564"/>
      <c r="D296" s="564"/>
      <c r="E296" s="564"/>
      <c r="F296" s="564"/>
      <c r="G296" s="564"/>
      <c r="H296" s="321"/>
    </row>
    <row r="297" spans="1:8" ht="12.75">
      <c r="A297" s="314"/>
      <c r="B297" s="324" t="s">
        <v>208</v>
      </c>
      <c r="C297" s="564"/>
      <c r="D297" s="564"/>
      <c r="E297" s="564"/>
      <c r="F297" s="564"/>
      <c r="G297" s="564"/>
      <c r="H297" s="321"/>
    </row>
    <row r="298" spans="1:8" ht="12.75">
      <c r="A298" s="314"/>
      <c r="B298" s="324" t="s">
        <v>209</v>
      </c>
      <c r="C298" s="564"/>
      <c r="D298" s="564"/>
      <c r="E298" s="564"/>
      <c r="F298" s="564"/>
      <c r="G298" s="564"/>
      <c r="H298" s="321"/>
    </row>
    <row r="299" spans="1:8" ht="12.75">
      <c r="A299" s="314"/>
      <c r="B299" s="325" t="s">
        <v>500</v>
      </c>
      <c r="C299" s="564"/>
      <c r="D299" s="564"/>
      <c r="E299" s="564"/>
      <c r="F299" s="564"/>
      <c r="G299" s="564"/>
      <c r="H299" s="321"/>
    </row>
    <row r="300" spans="1:8" ht="13.5" thickBot="1">
      <c r="A300" s="314"/>
      <c r="B300" s="326" t="s">
        <v>210</v>
      </c>
      <c r="C300" s="801"/>
      <c r="D300" s="801"/>
      <c r="E300" s="801">
        <v>36</v>
      </c>
      <c r="F300" s="801">
        <v>36</v>
      </c>
      <c r="G300" s="801">
        <v>38</v>
      </c>
      <c r="H300" s="736">
        <f t="shared" si="5"/>
        <v>1.0555555555555556</v>
      </c>
    </row>
    <row r="301" spans="1:8" ht="13.5" thickBot="1">
      <c r="A301" s="314"/>
      <c r="B301" s="328" t="s">
        <v>366</v>
      </c>
      <c r="C301" s="806"/>
      <c r="D301" s="806"/>
      <c r="E301" s="806">
        <f>SUM(E300)</f>
        <v>36</v>
      </c>
      <c r="F301" s="806">
        <f>SUM(F300)</f>
        <v>36</v>
      </c>
      <c r="G301" s="806">
        <f>SUM(G300)</f>
        <v>38</v>
      </c>
      <c r="H301" s="832">
        <f t="shared" si="5"/>
        <v>1.0555555555555556</v>
      </c>
    </row>
    <row r="302" spans="1:8" ht="13.5" thickBot="1">
      <c r="A302" s="314"/>
      <c r="B302" s="147" t="s">
        <v>240</v>
      </c>
      <c r="C302" s="806"/>
      <c r="D302" s="806"/>
      <c r="E302" s="806"/>
      <c r="F302" s="806"/>
      <c r="G302" s="806"/>
      <c r="H302" s="831"/>
    </row>
    <row r="303" spans="1:8" ht="13.5" thickBot="1">
      <c r="A303" s="314"/>
      <c r="B303" s="587" t="s">
        <v>241</v>
      </c>
      <c r="C303" s="806"/>
      <c r="D303" s="806"/>
      <c r="E303" s="806"/>
      <c r="F303" s="806">
        <f>F302</f>
        <v>0</v>
      </c>
      <c r="G303" s="806">
        <f>G302</f>
        <v>0</v>
      </c>
      <c r="H303" s="831"/>
    </row>
    <row r="304" spans="1:8" ht="13.5" thickBot="1">
      <c r="A304" s="314"/>
      <c r="B304" s="331" t="s">
        <v>72</v>
      </c>
      <c r="C304" s="807"/>
      <c r="D304" s="807"/>
      <c r="E304" s="807">
        <f>SUM(E301+E292)</f>
        <v>216</v>
      </c>
      <c r="F304" s="807">
        <f>SUM(F301+F292+F303)</f>
        <v>216</v>
      </c>
      <c r="G304" s="807">
        <f>SUM(G301+G292+G303)</f>
        <v>988</v>
      </c>
      <c r="H304" s="832">
        <f t="shared" si="5"/>
        <v>4.574074074074074</v>
      </c>
    </row>
    <row r="305" spans="1:8" ht="13.5" thickBot="1">
      <c r="A305" s="314"/>
      <c r="B305" s="793" t="s">
        <v>514</v>
      </c>
      <c r="C305" s="795"/>
      <c r="D305" s="795"/>
      <c r="E305" s="795">
        <v>308</v>
      </c>
      <c r="F305" s="795">
        <v>308</v>
      </c>
      <c r="G305" s="795">
        <v>308</v>
      </c>
      <c r="H305" s="831">
        <f t="shared" si="5"/>
        <v>1</v>
      </c>
    </row>
    <row r="306" spans="1:8" ht="13.5" thickBot="1">
      <c r="A306" s="314"/>
      <c r="B306" s="333" t="s">
        <v>73</v>
      </c>
      <c r="C306" s="796"/>
      <c r="D306" s="796"/>
      <c r="E306" s="796">
        <f>SUM(E305)</f>
        <v>308</v>
      </c>
      <c r="F306" s="796">
        <f>SUM(F305)</f>
        <v>308</v>
      </c>
      <c r="G306" s="796">
        <f>SUM(G305)</f>
        <v>308</v>
      </c>
      <c r="H306" s="832">
        <f t="shared" si="5"/>
        <v>1</v>
      </c>
    </row>
    <row r="307" spans="1:8" ht="12.75">
      <c r="A307" s="314"/>
      <c r="B307" s="785" t="s">
        <v>470</v>
      </c>
      <c r="C307" s="565"/>
      <c r="D307" s="565">
        <v>890</v>
      </c>
      <c r="E307" s="565">
        <v>890</v>
      </c>
      <c r="F307" s="565">
        <v>890</v>
      </c>
      <c r="G307" s="565">
        <v>890</v>
      </c>
      <c r="H307" s="321">
        <f t="shared" si="5"/>
        <v>1</v>
      </c>
    </row>
    <row r="308" spans="1:8" ht="13.5" thickBot="1">
      <c r="A308" s="314"/>
      <c r="B308" s="336" t="s">
        <v>507</v>
      </c>
      <c r="C308" s="801">
        <v>69536</v>
      </c>
      <c r="D308" s="801">
        <v>71630</v>
      </c>
      <c r="E308" s="801">
        <v>71630</v>
      </c>
      <c r="F308" s="801">
        <f>71630+544</f>
        <v>72174</v>
      </c>
      <c r="G308" s="801">
        <f>71630+544</f>
        <v>72174</v>
      </c>
      <c r="H308" s="736">
        <f t="shared" si="5"/>
        <v>1</v>
      </c>
    </row>
    <row r="309" spans="1:8" ht="13.5" thickBot="1">
      <c r="A309" s="314"/>
      <c r="B309" s="337" t="s">
        <v>66</v>
      </c>
      <c r="C309" s="799">
        <f>SUM(C307:C308)</f>
        <v>69536</v>
      </c>
      <c r="D309" s="799">
        <f>SUM(D307:D308)</f>
        <v>72520</v>
      </c>
      <c r="E309" s="799">
        <f>SUM(E307:E308)</f>
        <v>72520</v>
      </c>
      <c r="F309" s="799">
        <f>SUM(F307:F308)</f>
        <v>73064</v>
      </c>
      <c r="G309" s="799">
        <f>SUM(G307:G308)</f>
        <v>73064</v>
      </c>
      <c r="H309" s="832">
        <f t="shared" si="5"/>
        <v>1</v>
      </c>
    </row>
    <row r="310" spans="1:8" ht="13.5" thickBot="1">
      <c r="A310" s="314"/>
      <c r="B310" s="249" t="s">
        <v>470</v>
      </c>
      <c r="C310" s="795"/>
      <c r="D310" s="795"/>
      <c r="E310" s="795"/>
      <c r="F310" s="795"/>
      <c r="G310" s="795"/>
      <c r="H310" s="831"/>
    </row>
    <row r="311" spans="1:8" ht="13.5" thickBot="1">
      <c r="A311" s="314"/>
      <c r="B311" s="337" t="s">
        <v>68</v>
      </c>
      <c r="C311" s="799"/>
      <c r="D311" s="799"/>
      <c r="E311" s="799"/>
      <c r="F311" s="799"/>
      <c r="G311" s="799"/>
      <c r="H311" s="831"/>
    </row>
    <row r="312" spans="1:8" ht="15.75" thickBot="1">
      <c r="A312" s="314"/>
      <c r="B312" s="339" t="s">
        <v>80</v>
      </c>
      <c r="C312" s="800">
        <f>SUM(C304+C306+C309+C311)</f>
        <v>69536</v>
      </c>
      <c r="D312" s="800">
        <f>SUM(D304+D306+D309+D311)</f>
        <v>72520</v>
      </c>
      <c r="E312" s="800">
        <f>SUM(E304+E306+E309+E311)</f>
        <v>73044</v>
      </c>
      <c r="F312" s="800">
        <f>SUM(F304+F306+F309+F311)</f>
        <v>73588</v>
      </c>
      <c r="G312" s="800">
        <f>SUM(G304+G306+G309+G311)</f>
        <v>74360</v>
      </c>
      <c r="H312" s="1202">
        <f t="shared" si="5"/>
        <v>1.0104908408979725</v>
      </c>
    </row>
    <row r="313" spans="1:9" ht="12.75">
      <c r="A313" s="314"/>
      <c r="B313" s="340" t="s">
        <v>344</v>
      </c>
      <c r="C313" s="564">
        <v>54937</v>
      </c>
      <c r="D313" s="564">
        <v>56582</v>
      </c>
      <c r="E313" s="564">
        <v>56582</v>
      </c>
      <c r="F313" s="564">
        <f>56582+455</f>
        <v>57037</v>
      </c>
      <c r="G313" s="564">
        <v>56937</v>
      </c>
      <c r="H313" s="321">
        <f t="shared" si="5"/>
        <v>0.9982467521082806</v>
      </c>
      <c r="I313" s="829"/>
    </row>
    <row r="314" spans="1:9" ht="12.75">
      <c r="A314" s="314"/>
      <c r="B314" s="340" t="s">
        <v>345</v>
      </c>
      <c r="C314" s="564">
        <v>11237</v>
      </c>
      <c r="D314" s="564">
        <v>11558</v>
      </c>
      <c r="E314" s="564">
        <v>11558</v>
      </c>
      <c r="F314" s="564">
        <f>11558+89</f>
        <v>11647</v>
      </c>
      <c r="G314" s="564">
        <f>11558+89</f>
        <v>11647</v>
      </c>
      <c r="H314" s="321">
        <f t="shared" si="5"/>
        <v>1</v>
      </c>
      <c r="I314" s="829"/>
    </row>
    <row r="315" spans="1:8" ht="12.75">
      <c r="A315" s="314"/>
      <c r="B315" s="340" t="s">
        <v>346</v>
      </c>
      <c r="C315" s="564">
        <v>2346</v>
      </c>
      <c r="D315" s="564">
        <v>3364</v>
      </c>
      <c r="E315" s="564">
        <v>2880</v>
      </c>
      <c r="F315" s="564">
        <f>2880-350</f>
        <v>2530</v>
      </c>
      <c r="G315" s="564">
        <v>3302</v>
      </c>
      <c r="H315" s="321">
        <f t="shared" si="5"/>
        <v>1.3051383399209486</v>
      </c>
    </row>
    <row r="316" spans="1:8" ht="12.75">
      <c r="A316" s="314"/>
      <c r="B316" s="341" t="s">
        <v>348</v>
      </c>
      <c r="C316" s="564"/>
      <c r="D316" s="564"/>
      <c r="E316" s="564"/>
      <c r="F316" s="564"/>
      <c r="G316" s="564"/>
      <c r="H316" s="321"/>
    </row>
    <row r="317" spans="1:8" ht="13.5" thickBot="1">
      <c r="A317" s="314"/>
      <c r="B317" s="342" t="s">
        <v>347</v>
      </c>
      <c r="C317" s="564"/>
      <c r="D317" s="564"/>
      <c r="E317" s="564"/>
      <c r="F317" s="564"/>
      <c r="G317" s="564"/>
      <c r="H317" s="736"/>
    </row>
    <row r="318" spans="1:8" ht="13.5" thickBot="1">
      <c r="A318" s="314"/>
      <c r="B318" s="343" t="s">
        <v>65</v>
      </c>
      <c r="C318" s="802">
        <f>SUM(C313:C317)</f>
        <v>68520</v>
      </c>
      <c r="D318" s="802">
        <f>SUM(D313:D317)</f>
        <v>71504</v>
      </c>
      <c r="E318" s="802">
        <f>SUM(E313:E317)</f>
        <v>71020</v>
      </c>
      <c r="F318" s="802">
        <f>SUM(F313:F317)</f>
        <v>71214</v>
      </c>
      <c r="G318" s="802">
        <f>SUM(G313:G317)</f>
        <v>71886</v>
      </c>
      <c r="H318" s="832">
        <f t="shared" si="5"/>
        <v>1.0094363467857443</v>
      </c>
    </row>
    <row r="319" spans="1:8" ht="12.75">
      <c r="A319" s="314"/>
      <c r="B319" s="340" t="s">
        <v>264</v>
      </c>
      <c r="C319" s="564">
        <v>1016</v>
      </c>
      <c r="D319" s="564">
        <v>1016</v>
      </c>
      <c r="E319" s="564">
        <v>2024</v>
      </c>
      <c r="F319" s="564">
        <f>2024+350</f>
        <v>2374</v>
      </c>
      <c r="G319" s="564">
        <v>2474</v>
      </c>
      <c r="H319" s="321">
        <f t="shared" si="5"/>
        <v>1.04212299915754</v>
      </c>
    </row>
    <row r="320" spans="1:8" ht="12.75">
      <c r="A320" s="314"/>
      <c r="B320" s="340" t="s">
        <v>265</v>
      </c>
      <c r="C320" s="564"/>
      <c r="D320" s="564"/>
      <c r="E320" s="564"/>
      <c r="F320" s="564"/>
      <c r="G320" s="564"/>
      <c r="H320" s="321"/>
    </row>
    <row r="321" spans="1:8" ht="13.5" thickBot="1">
      <c r="A321" s="314"/>
      <c r="B321" s="342" t="s">
        <v>479</v>
      </c>
      <c r="C321" s="564"/>
      <c r="D321" s="564"/>
      <c r="E321" s="564"/>
      <c r="F321" s="564"/>
      <c r="G321" s="564"/>
      <c r="H321" s="736"/>
    </row>
    <row r="322" spans="1:8" ht="13.5" thickBot="1">
      <c r="A322" s="314"/>
      <c r="B322" s="344" t="s">
        <v>71</v>
      </c>
      <c r="C322" s="802">
        <f>SUM(C319:C321)</f>
        <v>1016</v>
      </c>
      <c r="D322" s="802">
        <f>SUM(D319:D321)</f>
        <v>1016</v>
      </c>
      <c r="E322" s="802">
        <f>SUM(E319:E321)</f>
        <v>2024</v>
      </c>
      <c r="F322" s="802">
        <f>SUM(F319:F321)</f>
        <v>2374</v>
      </c>
      <c r="G322" s="802">
        <f>SUM(G319:G321)</f>
        <v>2474</v>
      </c>
      <c r="H322" s="832">
        <f t="shared" si="5"/>
        <v>1.04212299915754</v>
      </c>
    </row>
    <row r="323" spans="1:10" ht="15.75" thickBot="1">
      <c r="A323" s="311"/>
      <c r="B323" s="345" t="s">
        <v>117</v>
      </c>
      <c r="C323" s="800">
        <f>SUM(C318+C322)</f>
        <v>69536</v>
      </c>
      <c r="D323" s="800">
        <f>SUM(D318+D322)</f>
        <v>72520</v>
      </c>
      <c r="E323" s="800">
        <f>SUM(E318+E322)</f>
        <v>73044</v>
      </c>
      <c r="F323" s="800">
        <f>SUM(F318+F322)</f>
        <v>73588</v>
      </c>
      <c r="G323" s="800">
        <f>SUM(G318+G322)</f>
        <v>74360</v>
      </c>
      <c r="H323" s="1202">
        <f t="shared" si="5"/>
        <v>1.0104908408979725</v>
      </c>
      <c r="J323" s="829"/>
    </row>
    <row r="324" spans="1:8" ht="15">
      <c r="A324" s="347">
        <v>2499</v>
      </c>
      <c r="B324" s="229" t="s">
        <v>357</v>
      </c>
      <c r="C324" s="809"/>
      <c r="D324" s="809"/>
      <c r="E324" s="809"/>
      <c r="F324" s="809"/>
      <c r="G324" s="809"/>
      <c r="H324" s="321"/>
    </row>
    <row r="325" spans="1:8" ht="12.75" customHeight="1">
      <c r="A325" s="347"/>
      <c r="B325" s="316" t="s">
        <v>201</v>
      </c>
      <c r="C325" s="592"/>
      <c r="D325" s="592"/>
      <c r="E325" s="592"/>
      <c r="F325" s="592"/>
      <c r="G325" s="592"/>
      <c r="H325" s="321"/>
    </row>
    <row r="326" spans="1:8" ht="12.75" customHeight="1" thickBot="1">
      <c r="A326" s="347"/>
      <c r="B326" s="317" t="s">
        <v>202</v>
      </c>
      <c r="C326" s="810"/>
      <c r="D326" s="810"/>
      <c r="E326" s="810">
        <f>SUM(E11+E46+E82+E117+E153+E188+E221+E256+E291)</f>
        <v>3256</v>
      </c>
      <c r="F326" s="810">
        <f>SUM(F11+F46+F82+F117+F153+F188+F221+F256+F291)</f>
        <v>3256</v>
      </c>
      <c r="G326" s="810">
        <f>SUM(G11+G46+G82+G117+G153+G188+G221+G256+G291)</f>
        <v>11795</v>
      </c>
      <c r="H326" s="736">
        <f t="shared" si="5"/>
        <v>3.6225429975429977</v>
      </c>
    </row>
    <row r="327" spans="1:8" ht="12.75" customHeight="1" thickBot="1">
      <c r="A327" s="347"/>
      <c r="B327" s="318" t="s">
        <v>215</v>
      </c>
      <c r="C327" s="811"/>
      <c r="D327" s="811"/>
      <c r="E327" s="811">
        <f>SUM(E326)</f>
        <v>3256</v>
      </c>
      <c r="F327" s="811">
        <f>SUM(F326)</f>
        <v>3256</v>
      </c>
      <c r="G327" s="811">
        <f>SUM(G326)</f>
        <v>11795</v>
      </c>
      <c r="H327" s="832">
        <f t="shared" si="5"/>
        <v>3.6225429975429977</v>
      </c>
    </row>
    <row r="328" spans="1:8" ht="12.75" customHeight="1">
      <c r="A328" s="347"/>
      <c r="B328" s="316" t="s">
        <v>204</v>
      </c>
      <c r="C328" s="564"/>
      <c r="D328" s="564"/>
      <c r="E328" s="564"/>
      <c r="F328" s="564"/>
      <c r="G328" s="564">
        <f>SUM(G329)</f>
        <v>325</v>
      </c>
      <c r="H328" s="321"/>
    </row>
    <row r="329" spans="1:8" ht="12.75" customHeight="1">
      <c r="A329" s="347"/>
      <c r="B329" s="322" t="s">
        <v>205</v>
      </c>
      <c r="C329" s="805"/>
      <c r="D329" s="805"/>
      <c r="E329" s="805"/>
      <c r="F329" s="805"/>
      <c r="G329" s="805">
        <f>SUM(G85)</f>
        <v>325</v>
      </c>
      <c r="H329" s="321"/>
    </row>
    <row r="330" spans="1:8" ht="12.75" customHeight="1">
      <c r="A330" s="347"/>
      <c r="B330" s="322" t="s">
        <v>206</v>
      </c>
      <c r="C330" s="805"/>
      <c r="D330" s="805"/>
      <c r="E330" s="805"/>
      <c r="F330" s="805"/>
      <c r="G330" s="805"/>
      <c r="H330" s="321"/>
    </row>
    <row r="331" spans="1:8" ht="12.75" customHeight="1">
      <c r="A331" s="347"/>
      <c r="B331" s="324" t="s">
        <v>207</v>
      </c>
      <c r="C331" s="564"/>
      <c r="D331" s="564"/>
      <c r="E331" s="564">
        <f>SUM(E16)</f>
        <v>106</v>
      </c>
      <c r="F331" s="564">
        <f>SUM(F16)</f>
        <v>106</v>
      </c>
      <c r="G331" s="564">
        <f>SUM(G16)</f>
        <v>182</v>
      </c>
      <c r="H331" s="321">
        <f t="shared" si="5"/>
        <v>1.7169811320754718</v>
      </c>
    </row>
    <row r="332" spans="1:8" ht="12.75" customHeight="1">
      <c r="A332" s="347"/>
      <c r="B332" s="324" t="s">
        <v>208</v>
      </c>
      <c r="C332" s="564"/>
      <c r="D332" s="564"/>
      <c r="E332" s="564"/>
      <c r="F332" s="564"/>
      <c r="G332" s="564"/>
      <c r="H332" s="321"/>
    </row>
    <row r="333" spans="1:8" ht="13.5" customHeight="1">
      <c r="A333" s="347"/>
      <c r="B333" s="324" t="s">
        <v>209</v>
      </c>
      <c r="C333" s="564"/>
      <c r="D333" s="564"/>
      <c r="E333" s="564"/>
      <c r="F333" s="564"/>
      <c r="G333" s="564"/>
      <c r="H333" s="321"/>
    </row>
    <row r="334" spans="1:8" ht="12.75" customHeight="1">
      <c r="A334" s="347"/>
      <c r="B334" s="324" t="s">
        <v>370</v>
      </c>
      <c r="C334" s="564"/>
      <c r="D334" s="564"/>
      <c r="E334" s="564"/>
      <c r="F334" s="564"/>
      <c r="G334" s="564"/>
      <c r="H334" s="321"/>
    </row>
    <row r="335" spans="1:8" ht="12.75" customHeight="1">
      <c r="A335" s="347"/>
      <c r="B335" s="325" t="s">
        <v>500</v>
      </c>
      <c r="C335" s="564"/>
      <c r="D335" s="564"/>
      <c r="E335" s="564"/>
      <c r="F335" s="564"/>
      <c r="G335" s="564"/>
      <c r="H335" s="321"/>
    </row>
    <row r="336" spans="1:8" ht="12.75" customHeight="1" thickBot="1">
      <c r="A336" s="347"/>
      <c r="B336" s="326" t="s">
        <v>210</v>
      </c>
      <c r="C336" s="564"/>
      <c r="D336" s="564"/>
      <c r="E336" s="564">
        <f>SUM(E20+E56+E91+E127+E162+E197+E230+E265+E300)</f>
        <v>328</v>
      </c>
      <c r="F336" s="564">
        <f>SUM(F20+F56+F91+F127+F162+F197+F230+F265+F300)</f>
        <v>328</v>
      </c>
      <c r="G336" s="564">
        <f>SUM(G20+G56+G91+G127+G162+G197+G230+G265+G300)</f>
        <v>470</v>
      </c>
      <c r="H336" s="736">
        <f aca="true" t="shared" si="6" ref="H336:H393">SUM(G336/F336)</f>
        <v>1.4329268292682926</v>
      </c>
    </row>
    <row r="337" spans="1:8" ht="12.75" customHeight="1" thickBot="1">
      <c r="A337" s="347"/>
      <c r="B337" s="328" t="s">
        <v>366</v>
      </c>
      <c r="C337" s="802"/>
      <c r="D337" s="802"/>
      <c r="E337" s="802">
        <f>SUM(E331:E336)</f>
        <v>434</v>
      </c>
      <c r="F337" s="802">
        <f>SUM(F331:F336)</f>
        <v>434</v>
      </c>
      <c r="G337" s="802">
        <f>SUM(G331:G336)+G328</f>
        <v>977</v>
      </c>
      <c r="H337" s="832">
        <f t="shared" si="6"/>
        <v>2.251152073732719</v>
      </c>
    </row>
    <row r="338" spans="1:8" ht="12.75" customHeight="1" thickBot="1">
      <c r="A338" s="347"/>
      <c r="B338" s="147" t="s">
        <v>240</v>
      </c>
      <c r="C338" s="802"/>
      <c r="D338" s="802"/>
      <c r="E338" s="802"/>
      <c r="F338" s="802">
        <f>F22+F58+F93+F129+F164+F199+F232+F267+F302</f>
        <v>0</v>
      </c>
      <c r="G338" s="802">
        <f>G22+G58+G93+G129+G164+G199+G232+G267+G302</f>
        <v>0</v>
      </c>
      <c r="H338" s="831"/>
    </row>
    <row r="339" spans="1:8" ht="12.75" customHeight="1" thickBot="1">
      <c r="A339" s="347"/>
      <c r="B339" s="587" t="s">
        <v>241</v>
      </c>
      <c r="C339" s="802"/>
      <c r="D339" s="802"/>
      <c r="E339" s="802"/>
      <c r="F339" s="802">
        <f>F338</f>
        <v>0</v>
      </c>
      <c r="G339" s="802">
        <f>G338</f>
        <v>0</v>
      </c>
      <c r="H339" s="831"/>
    </row>
    <row r="340" spans="1:8" ht="12.75" customHeight="1" thickBot="1">
      <c r="A340" s="347"/>
      <c r="B340" s="331" t="s">
        <v>72</v>
      </c>
      <c r="C340" s="808"/>
      <c r="D340" s="808"/>
      <c r="E340" s="808">
        <f>SUM(E337+E327)</f>
        <v>3690</v>
      </c>
      <c r="F340" s="808">
        <f>SUM(F337+F327+F339)</f>
        <v>3690</v>
      </c>
      <c r="G340" s="808">
        <f>SUM(G337+G327+G339)</f>
        <v>12772</v>
      </c>
      <c r="H340" s="832">
        <f t="shared" si="6"/>
        <v>3.4612466124661245</v>
      </c>
    </row>
    <row r="341" spans="1:8" ht="12.75" customHeight="1" thickBot="1">
      <c r="A341" s="347"/>
      <c r="B341" s="793" t="s">
        <v>514</v>
      </c>
      <c r="C341" s="812"/>
      <c r="D341" s="812"/>
      <c r="E341" s="812">
        <f>SUM(E25+E61+E96+E132+E167+E202+E235+E270+E305)</f>
        <v>1885</v>
      </c>
      <c r="F341" s="812">
        <f>SUM(F25+F61+F96+F132+F167+F202+F235+F270+F305)</f>
        <v>1885</v>
      </c>
      <c r="G341" s="812">
        <f>SUM(G25+G61+G96+G132+G167+G202+G235+G270+G305)</f>
        <v>1885</v>
      </c>
      <c r="H341" s="831">
        <f t="shared" si="6"/>
        <v>1</v>
      </c>
    </row>
    <row r="342" spans="1:8" ht="12.75" customHeight="1" thickBot="1">
      <c r="A342" s="347"/>
      <c r="B342" s="333" t="s">
        <v>73</v>
      </c>
      <c r="C342" s="813"/>
      <c r="D342" s="813"/>
      <c r="E342" s="813">
        <f>SUM(E341)</f>
        <v>1885</v>
      </c>
      <c r="F342" s="813">
        <f>SUM(F341)</f>
        <v>1885</v>
      </c>
      <c r="G342" s="813">
        <f>SUM(G341)</f>
        <v>1885</v>
      </c>
      <c r="H342" s="832">
        <f t="shared" si="6"/>
        <v>1</v>
      </c>
    </row>
    <row r="343" spans="1:8" ht="12.75" customHeight="1">
      <c r="A343" s="347"/>
      <c r="B343" s="785" t="s">
        <v>470</v>
      </c>
      <c r="C343" s="565"/>
      <c r="D343" s="565">
        <f aca="true" t="shared" si="7" ref="D343:F344">SUM(D27+D63+D98+D134+D169+D204+D237+D272+D307)</f>
        <v>8509</v>
      </c>
      <c r="E343" s="565">
        <f t="shared" si="7"/>
        <v>8509</v>
      </c>
      <c r="F343" s="565">
        <f t="shared" si="7"/>
        <v>8509</v>
      </c>
      <c r="G343" s="565">
        <f>SUM(G27+G63+G98+G134+G169+G204+G237+G272+G307)</f>
        <v>8509</v>
      </c>
      <c r="H343" s="321">
        <f t="shared" si="6"/>
        <v>1</v>
      </c>
    </row>
    <row r="344" spans="1:8" ht="12.75" customHeight="1" thickBot="1">
      <c r="A344" s="347"/>
      <c r="B344" s="336" t="s">
        <v>507</v>
      </c>
      <c r="C344" s="801">
        <f>SUM(C28+C64+C99+C135+C170+C205+C238+C273+C308)</f>
        <v>1096327</v>
      </c>
      <c r="D344" s="801">
        <f t="shared" si="7"/>
        <v>1126996</v>
      </c>
      <c r="E344" s="801">
        <f t="shared" si="7"/>
        <v>1127386</v>
      </c>
      <c r="F344" s="801">
        <f t="shared" si="7"/>
        <v>1132412</v>
      </c>
      <c r="G344" s="801">
        <f>SUM(G28+G64+G99+G135+G170+G205+G238+G273+G308)</f>
        <v>1132487</v>
      </c>
      <c r="H344" s="736">
        <f t="shared" si="6"/>
        <v>1.0000662303119359</v>
      </c>
    </row>
    <row r="345" spans="1:8" ht="12.75" customHeight="1" thickBot="1">
      <c r="A345" s="347"/>
      <c r="B345" s="337" t="s">
        <v>66</v>
      </c>
      <c r="C345" s="799">
        <f>SUM(C343:C344)</f>
        <v>1096327</v>
      </c>
      <c r="D345" s="799">
        <f>SUM(D343:D344)</f>
        <v>1135505</v>
      </c>
      <c r="E345" s="799">
        <f>SUM(E343:E344)</f>
        <v>1135895</v>
      </c>
      <c r="F345" s="799">
        <f>SUM(F343:F344)</f>
        <v>1140921</v>
      </c>
      <c r="G345" s="799">
        <f>SUM(G343:G344)</f>
        <v>1140996</v>
      </c>
      <c r="H345" s="832">
        <f t="shared" si="6"/>
        <v>1.0000657363656205</v>
      </c>
    </row>
    <row r="346" spans="1:8" ht="12.75" customHeight="1" thickBot="1">
      <c r="A346" s="347"/>
      <c r="B346" s="249" t="s">
        <v>470</v>
      </c>
      <c r="C346" s="795">
        <f>SUM(C31+C67+C102+C138+C173+C241+C276+C311)</f>
        <v>0</v>
      </c>
      <c r="D346" s="795">
        <f>SUM(D31+D67+D102+D138+D173+D241+D276+D311)</f>
        <v>0</v>
      </c>
      <c r="E346" s="795">
        <f>SUM(E31+E67+E102+E138+E173+E241+E276+E311)</f>
        <v>0</v>
      </c>
      <c r="F346" s="795">
        <f>SUM(F31+F67+F102+F138+F173+F241+F276+F311)</f>
        <v>0</v>
      </c>
      <c r="G346" s="795">
        <f>SUM(G31+G67+G102+G138+G173+G241+G276+G311)</f>
        <v>0</v>
      </c>
      <c r="H346" s="831"/>
    </row>
    <row r="347" spans="1:8" ht="12.75" customHeight="1" thickBot="1">
      <c r="A347" s="347"/>
      <c r="B347" s="337" t="s">
        <v>68</v>
      </c>
      <c r="C347" s="799">
        <f>SUM(C346)</f>
        <v>0</v>
      </c>
      <c r="D347" s="799">
        <f>SUM(D346)</f>
        <v>0</v>
      </c>
      <c r="E347" s="799">
        <f>SUM(E346)</f>
        <v>0</v>
      </c>
      <c r="F347" s="799">
        <f>SUM(F346)</f>
        <v>0</v>
      </c>
      <c r="G347" s="799">
        <f>SUM(G346)</f>
        <v>0</v>
      </c>
      <c r="H347" s="831"/>
    </row>
    <row r="348" spans="1:8" ht="12.75" customHeight="1" thickBot="1">
      <c r="A348" s="347"/>
      <c r="B348" s="349" t="s">
        <v>80</v>
      </c>
      <c r="C348" s="814">
        <f>SUM(C340+C342+C345+C347)</f>
        <v>1096327</v>
      </c>
      <c r="D348" s="814">
        <f>SUM(D340+D342+D345+D347)</f>
        <v>1135505</v>
      </c>
      <c r="E348" s="814">
        <f>SUM(E340+E342+E345+E347)</f>
        <v>1141470</v>
      </c>
      <c r="F348" s="814">
        <f>SUM(F340+F342+F345+F347)</f>
        <v>1146496</v>
      </c>
      <c r="G348" s="814">
        <f>SUM(G340+G342+G345+G347)</f>
        <v>1155653</v>
      </c>
      <c r="H348" s="1202">
        <f t="shared" si="6"/>
        <v>1.007986944568494</v>
      </c>
    </row>
    <row r="349" spans="1:8" ht="15">
      <c r="A349" s="347"/>
      <c r="B349" s="340" t="s">
        <v>344</v>
      </c>
      <c r="C349" s="564">
        <f aca="true" t="shared" si="8" ref="C349:F353">SUM(C33+C69+C104+C140+C175+C208+C243+C278+C313)</f>
        <v>857595</v>
      </c>
      <c r="D349" s="564">
        <f t="shared" si="8"/>
        <v>882003</v>
      </c>
      <c r="E349" s="564">
        <f t="shared" si="8"/>
        <v>883329</v>
      </c>
      <c r="F349" s="564">
        <f t="shared" si="8"/>
        <v>887535</v>
      </c>
      <c r="G349" s="564">
        <f>SUM(G33+G69+G104+G140+G175+G208+G243+G278+G313)</f>
        <v>887047</v>
      </c>
      <c r="H349" s="321">
        <f t="shared" si="6"/>
        <v>0.9994501625288017</v>
      </c>
    </row>
    <row r="350" spans="1:8" ht="12.75">
      <c r="A350" s="314"/>
      <c r="B350" s="340" t="s">
        <v>345</v>
      </c>
      <c r="C350" s="564">
        <f t="shared" si="8"/>
        <v>183533</v>
      </c>
      <c r="D350" s="564">
        <f t="shared" si="8"/>
        <v>188303</v>
      </c>
      <c r="E350" s="564">
        <f t="shared" si="8"/>
        <v>188562</v>
      </c>
      <c r="F350" s="564">
        <f t="shared" si="8"/>
        <v>189382</v>
      </c>
      <c r="G350" s="564">
        <f>SUM(G34+G70+G105+G141+G176+G209+G244+G279+G314)</f>
        <v>189395</v>
      </c>
      <c r="H350" s="321">
        <f t="shared" si="6"/>
        <v>1.0000686443273383</v>
      </c>
    </row>
    <row r="351" spans="1:8" ht="12.75">
      <c r="A351" s="314"/>
      <c r="B351" s="340" t="s">
        <v>346</v>
      </c>
      <c r="C351" s="564">
        <f t="shared" si="8"/>
        <v>40682</v>
      </c>
      <c r="D351" s="564">
        <f t="shared" si="8"/>
        <v>50682</v>
      </c>
      <c r="E351" s="564">
        <f t="shared" si="8"/>
        <v>52470</v>
      </c>
      <c r="F351" s="564">
        <f t="shared" si="8"/>
        <v>50101</v>
      </c>
      <c r="G351" s="564">
        <f>SUM(G35+G71+G106+G142+G177+G210+G245+G280+G315)</f>
        <v>59172</v>
      </c>
      <c r="H351" s="321">
        <f t="shared" si="6"/>
        <v>1.181054270373845</v>
      </c>
    </row>
    <row r="352" spans="1:8" ht="12.75">
      <c r="A352" s="314"/>
      <c r="B352" s="341" t="s">
        <v>348</v>
      </c>
      <c r="C352" s="564">
        <f t="shared" si="8"/>
        <v>0</v>
      </c>
      <c r="D352" s="564">
        <f t="shared" si="8"/>
        <v>0</v>
      </c>
      <c r="E352" s="564">
        <f t="shared" si="8"/>
        <v>0</v>
      </c>
      <c r="F352" s="564">
        <f t="shared" si="8"/>
        <v>0</v>
      </c>
      <c r="G352" s="564">
        <f>SUM(G36+G72+G107+G143+G178+G211+G246+G281+G316)</f>
        <v>0</v>
      </c>
      <c r="H352" s="321"/>
    </row>
    <row r="353" spans="1:8" ht="13.5" thickBot="1">
      <c r="A353" s="314"/>
      <c r="B353" s="342" t="s">
        <v>347</v>
      </c>
      <c r="C353" s="564">
        <f t="shared" si="8"/>
        <v>0</v>
      </c>
      <c r="D353" s="564">
        <f t="shared" si="8"/>
        <v>0</v>
      </c>
      <c r="E353" s="564">
        <f t="shared" si="8"/>
        <v>7</v>
      </c>
      <c r="F353" s="564">
        <f t="shared" si="8"/>
        <v>76</v>
      </c>
      <c r="G353" s="564">
        <f>SUM(G37+G73+G108+G144+G179+G212+G247+G282+G317)</f>
        <v>76</v>
      </c>
      <c r="H353" s="736">
        <f t="shared" si="6"/>
        <v>1</v>
      </c>
    </row>
    <row r="354" spans="1:8" ht="13.5" thickBot="1">
      <c r="A354" s="314"/>
      <c r="B354" s="343" t="s">
        <v>65</v>
      </c>
      <c r="C354" s="802">
        <f>SUM(C349:C353)</f>
        <v>1081810</v>
      </c>
      <c r="D354" s="802">
        <f>SUM(D349:D353)</f>
        <v>1120988</v>
      </c>
      <c r="E354" s="802">
        <f>SUM(E349:E353)</f>
        <v>1124368</v>
      </c>
      <c r="F354" s="802">
        <f>SUM(F349:F353)</f>
        <v>1127094</v>
      </c>
      <c r="G354" s="802">
        <f>SUM(G349:G353)</f>
        <v>1135690</v>
      </c>
      <c r="H354" s="832">
        <f t="shared" si="6"/>
        <v>1.007626693070853</v>
      </c>
    </row>
    <row r="355" spans="1:8" ht="12.75">
      <c r="A355" s="314"/>
      <c r="B355" s="340" t="s">
        <v>264</v>
      </c>
      <c r="C355" s="564">
        <f>SUM(C319+C284+C249+C214+C181+C146+C110+C75+C39)</f>
        <v>14517</v>
      </c>
      <c r="D355" s="564">
        <f>SUM(D319+D284+D249+D214+D181+D146+D110+D75+D39)</f>
        <v>14517</v>
      </c>
      <c r="E355" s="564">
        <f>SUM(E319+E284+E249+E214+E181+E146+E110+E75+E39)</f>
        <v>17102</v>
      </c>
      <c r="F355" s="564">
        <f>SUM(F319+F284+F249+F214+F181+F146+F110+F75+F39)</f>
        <v>19402</v>
      </c>
      <c r="G355" s="564">
        <f>SUM(G319+G284+G249+G214+G181+G146+G110+G75+G39)</f>
        <v>19963</v>
      </c>
      <c r="H355" s="321">
        <f t="shared" si="6"/>
        <v>1.0289145448922792</v>
      </c>
    </row>
    <row r="356" spans="1:8" ht="12.75">
      <c r="A356" s="314"/>
      <c r="B356" s="340" t="s">
        <v>265</v>
      </c>
      <c r="C356" s="564">
        <f>C40+C76+C111+C147+C182+C215+C250+C285</f>
        <v>0</v>
      </c>
      <c r="D356" s="564">
        <f>D40+D76+D111+D147+D182+D215+D250+D285</f>
        <v>0</v>
      </c>
      <c r="E356" s="564">
        <f>E40+E76+E111+E147+E182+E215+E250+E285</f>
        <v>0</v>
      </c>
      <c r="F356" s="564">
        <f>F40+F76+F111+F147+F182+F215+F250+F285</f>
        <v>0</v>
      </c>
      <c r="G356" s="564">
        <f>G40+G76+G111+G147+G182+G215+G250+G285</f>
        <v>0</v>
      </c>
      <c r="H356" s="321"/>
    </row>
    <row r="357" spans="1:8" ht="13.5" thickBot="1">
      <c r="A357" s="314"/>
      <c r="B357" s="342" t="s">
        <v>479</v>
      </c>
      <c r="C357" s="801"/>
      <c r="D357" s="801"/>
      <c r="E357" s="801"/>
      <c r="F357" s="801"/>
      <c r="G357" s="801"/>
      <c r="H357" s="736"/>
    </row>
    <row r="358" spans="1:8" ht="13.5" thickBot="1">
      <c r="A358" s="314"/>
      <c r="B358" s="344" t="s">
        <v>71</v>
      </c>
      <c r="C358" s="802">
        <f>SUM(C355:C357)</f>
        <v>14517</v>
      </c>
      <c r="D358" s="802">
        <f>SUM(D355:D357)</f>
        <v>14517</v>
      </c>
      <c r="E358" s="802">
        <f>SUM(E355:E357)</f>
        <v>17102</v>
      </c>
      <c r="F358" s="802">
        <f>SUM(F355:F357)</f>
        <v>19402</v>
      </c>
      <c r="G358" s="802">
        <f>SUM(G355:G357)</f>
        <v>19963</v>
      </c>
      <c r="H358" s="832">
        <f t="shared" si="6"/>
        <v>1.0289145448922792</v>
      </c>
    </row>
    <row r="359" spans="1:8" ht="15.75" thickBot="1">
      <c r="A359" s="311"/>
      <c r="B359" s="345" t="s">
        <v>117</v>
      </c>
      <c r="C359" s="800">
        <f>SUM(C354+C358)</f>
        <v>1096327</v>
      </c>
      <c r="D359" s="800">
        <f>SUM(D354+D358)</f>
        <v>1135505</v>
      </c>
      <c r="E359" s="800">
        <f>SUM(E354+E358)</f>
        <v>1141470</v>
      </c>
      <c r="F359" s="800">
        <f>SUM(F354+F358)</f>
        <v>1146496</v>
      </c>
      <c r="G359" s="800">
        <f>SUM(G354+G358)</f>
        <v>1155653</v>
      </c>
      <c r="H359" s="1202">
        <f t="shared" si="6"/>
        <v>1.007986944568494</v>
      </c>
    </row>
    <row r="360" spans="1:8" ht="15">
      <c r="A360" s="228">
        <v>2795</v>
      </c>
      <c r="B360" s="350" t="s">
        <v>26</v>
      </c>
      <c r="C360" s="815"/>
      <c r="D360" s="815"/>
      <c r="E360" s="815"/>
      <c r="F360" s="815"/>
      <c r="G360" s="815"/>
      <c r="H360" s="321"/>
    </row>
    <row r="361" spans="1:8" ht="12" customHeight="1">
      <c r="A361" s="314"/>
      <c r="B361" s="316" t="s">
        <v>201</v>
      </c>
      <c r="C361" s="592"/>
      <c r="D361" s="592"/>
      <c r="E361" s="592"/>
      <c r="F361" s="592"/>
      <c r="G361" s="592"/>
      <c r="H361" s="321"/>
    </row>
    <row r="362" spans="1:8" ht="13.5" thickBot="1">
      <c r="A362" s="314"/>
      <c r="B362" s="317" t="s">
        <v>202</v>
      </c>
      <c r="C362" s="801"/>
      <c r="D362" s="801"/>
      <c r="E362" s="801"/>
      <c r="F362" s="801"/>
      <c r="G362" s="801"/>
      <c r="H362" s="736"/>
    </row>
    <row r="363" spans="1:8" ht="13.5" thickBot="1">
      <c r="A363" s="314"/>
      <c r="B363" s="318" t="s">
        <v>215</v>
      </c>
      <c r="C363" s="816"/>
      <c r="D363" s="816"/>
      <c r="E363" s="816"/>
      <c r="F363" s="816"/>
      <c r="G363" s="816"/>
      <c r="H363" s="831"/>
    </row>
    <row r="364" spans="1:8" ht="12.75">
      <c r="A364" s="314"/>
      <c r="B364" s="316" t="s">
        <v>204</v>
      </c>
      <c r="C364" s="564">
        <f>SUM(C365:C366)</f>
        <v>36422</v>
      </c>
      <c r="D364" s="564">
        <f>SUM(D365:D366)</f>
        <v>36422</v>
      </c>
      <c r="E364" s="564">
        <f>SUM(E365:E366)</f>
        <v>36422</v>
      </c>
      <c r="F364" s="564">
        <f>SUM(F365:F366)</f>
        <v>36422</v>
      </c>
      <c r="G364" s="564">
        <f>SUM(G365:G366)</f>
        <v>41393</v>
      </c>
      <c r="H364" s="321">
        <f t="shared" si="6"/>
        <v>1.136483444072264</v>
      </c>
    </row>
    <row r="365" spans="1:8" ht="12.75">
      <c r="A365" s="314"/>
      <c r="B365" s="322" t="s">
        <v>205</v>
      </c>
      <c r="C365" s="805"/>
      <c r="D365" s="805"/>
      <c r="E365" s="805"/>
      <c r="F365" s="805">
        <v>6411</v>
      </c>
      <c r="G365" s="805">
        <v>7328</v>
      </c>
      <c r="H365" s="321">
        <f t="shared" si="6"/>
        <v>1.1430354078926845</v>
      </c>
    </row>
    <row r="366" spans="1:8" ht="12.75">
      <c r="A366" s="314"/>
      <c r="B366" s="322" t="s">
        <v>206</v>
      </c>
      <c r="C366" s="817">
        <v>36422</v>
      </c>
      <c r="D366" s="805">
        <v>36422</v>
      </c>
      <c r="E366" s="805">
        <v>36422</v>
      </c>
      <c r="F366" s="805">
        <f>36422-6411</f>
        <v>30011</v>
      </c>
      <c r="G366" s="805">
        <v>34065</v>
      </c>
      <c r="H366" s="321">
        <f t="shared" si="6"/>
        <v>1.1350838026057113</v>
      </c>
    </row>
    <row r="367" spans="1:8" ht="12.75">
      <c r="A367" s="314"/>
      <c r="B367" s="324" t="s">
        <v>207</v>
      </c>
      <c r="C367" s="818">
        <v>3324</v>
      </c>
      <c r="D367" s="564">
        <v>3324</v>
      </c>
      <c r="E367" s="564">
        <v>3324</v>
      </c>
      <c r="F367" s="564">
        <f>3324+5507</f>
        <v>8831</v>
      </c>
      <c r="G367" s="564">
        <v>11333</v>
      </c>
      <c r="H367" s="321">
        <f t="shared" si="6"/>
        <v>1.2833201222964556</v>
      </c>
    </row>
    <row r="368" spans="1:8" ht="12.75">
      <c r="A368" s="314"/>
      <c r="B368" s="324" t="s">
        <v>208</v>
      </c>
      <c r="C368" s="818">
        <v>126992</v>
      </c>
      <c r="D368" s="564">
        <v>126992</v>
      </c>
      <c r="E368" s="564">
        <v>126992</v>
      </c>
      <c r="F368" s="564">
        <v>126992</v>
      </c>
      <c r="G368" s="564">
        <v>144014</v>
      </c>
      <c r="H368" s="321">
        <f t="shared" si="6"/>
        <v>1.1340399395237495</v>
      </c>
    </row>
    <row r="369" spans="1:8" ht="12.75">
      <c r="A369" s="314"/>
      <c r="B369" s="324" t="s">
        <v>209</v>
      </c>
      <c r="C369" s="818">
        <v>45019</v>
      </c>
      <c r="D369" s="564">
        <v>45019</v>
      </c>
      <c r="E369" s="564">
        <v>45019</v>
      </c>
      <c r="F369" s="564">
        <v>45019</v>
      </c>
      <c r="G369" s="564">
        <v>53893</v>
      </c>
      <c r="H369" s="321">
        <f t="shared" si="6"/>
        <v>1.1971167729181011</v>
      </c>
    </row>
    <row r="370" spans="1:8" ht="12.75">
      <c r="A370" s="314"/>
      <c r="B370" s="325" t="s">
        <v>500</v>
      </c>
      <c r="C370" s="564"/>
      <c r="D370" s="564"/>
      <c r="E370" s="564"/>
      <c r="F370" s="564"/>
      <c r="G370" s="564">
        <v>3</v>
      </c>
      <c r="H370" s="321"/>
    </row>
    <row r="371" spans="1:8" ht="13.5" thickBot="1">
      <c r="A371" s="314"/>
      <c r="B371" s="326" t="s">
        <v>210</v>
      </c>
      <c r="C371" s="564"/>
      <c r="D371" s="564"/>
      <c r="E371" s="564"/>
      <c r="F371" s="564">
        <v>4720</v>
      </c>
      <c r="G371" s="564">
        <v>4690</v>
      </c>
      <c r="H371" s="736">
        <f t="shared" si="6"/>
        <v>0.9936440677966102</v>
      </c>
    </row>
    <row r="372" spans="1:8" ht="13.5" thickBot="1">
      <c r="A372" s="314"/>
      <c r="B372" s="328" t="s">
        <v>366</v>
      </c>
      <c r="C372" s="802">
        <f>SUM(C364+C367+C368+C369+C371+C370)</f>
        <v>211757</v>
      </c>
      <c r="D372" s="802">
        <f>SUM(D364+D367+D368+D369+D371+D370)</f>
        <v>211757</v>
      </c>
      <c r="E372" s="802">
        <f>SUM(E364+E367+E368+E369+E371+E370)</f>
        <v>211757</v>
      </c>
      <c r="F372" s="802">
        <f>SUM(F364+F367+F368+F369+F371+F370)</f>
        <v>221984</v>
      </c>
      <c r="G372" s="802">
        <f>SUM(G364+G367+G368+G369+G371+G370)</f>
        <v>255326</v>
      </c>
      <c r="H372" s="832">
        <f t="shared" si="6"/>
        <v>1.1502000144154534</v>
      </c>
    </row>
    <row r="373" spans="1:8" ht="13.5" thickBot="1">
      <c r="A373" s="314"/>
      <c r="B373" s="147" t="s">
        <v>240</v>
      </c>
      <c r="C373" s="802"/>
      <c r="D373" s="802"/>
      <c r="E373" s="802"/>
      <c r="F373" s="802"/>
      <c r="G373" s="802"/>
      <c r="H373" s="831"/>
    </row>
    <row r="374" spans="1:8" ht="13.5" thickBot="1">
      <c r="A374" s="314"/>
      <c r="B374" s="587" t="s">
        <v>241</v>
      </c>
      <c r="C374" s="802"/>
      <c r="D374" s="802"/>
      <c r="E374" s="802"/>
      <c r="F374" s="802">
        <f>F373</f>
        <v>0</v>
      </c>
      <c r="G374" s="802">
        <f>G373</f>
        <v>0</v>
      </c>
      <c r="H374" s="831"/>
    </row>
    <row r="375" spans="1:8" ht="13.5" thickBot="1">
      <c r="A375" s="314"/>
      <c r="B375" s="331" t="s">
        <v>72</v>
      </c>
      <c r="C375" s="332">
        <f>SUM(C372+C363)</f>
        <v>211757</v>
      </c>
      <c r="D375" s="332">
        <f>SUM(D372+D363)</f>
        <v>211757</v>
      </c>
      <c r="E375" s="332">
        <f>SUM(E372+E363)</f>
        <v>211757</v>
      </c>
      <c r="F375" s="332">
        <f>SUM(F372+F363+F374)</f>
        <v>221984</v>
      </c>
      <c r="G375" s="332">
        <f>SUM(G372+G363+G374)</f>
        <v>255326</v>
      </c>
      <c r="H375" s="832">
        <f t="shared" si="6"/>
        <v>1.1502000144154534</v>
      </c>
    </row>
    <row r="376" spans="1:8" ht="13.5" thickBot="1">
      <c r="A376" s="314"/>
      <c r="B376" s="793" t="s">
        <v>443</v>
      </c>
      <c r="C376" s="795"/>
      <c r="D376" s="795"/>
      <c r="E376" s="795"/>
      <c r="F376" s="795"/>
      <c r="G376" s="795"/>
      <c r="H376" s="831"/>
    </row>
    <row r="377" spans="1:8" ht="13.5" thickBot="1">
      <c r="A377" s="314"/>
      <c r="B377" s="333" t="s">
        <v>73</v>
      </c>
      <c r="C377" s="796"/>
      <c r="D377" s="796"/>
      <c r="E377" s="796"/>
      <c r="F377" s="796"/>
      <c r="G377" s="796"/>
      <c r="H377" s="831"/>
    </row>
    <row r="378" spans="1:8" ht="12.75">
      <c r="A378" s="314"/>
      <c r="B378" s="785" t="s">
        <v>470</v>
      </c>
      <c r="C378" s="565"/>
      <c r="D378" s="565">
        <v>15755</v>
      </c>
      <c r="E378" s="565">
        <v>15755</v>
      </c>
      <c r="F378" s="565">
        <v>15755</v>
      </c>
      <c r="G378" s="565">
        <v>15755</v>
      </c>
      <c r="H378" s="321">
        <f t="shared" si="6"/>
        <v>1</v>
      </c>
    </row>
    <row r="379" spans="1:8" ht="12.75">
      <c r="A379" s="314"/>
      <c r="B379" s="335" t="s">
        <v>507</v>
      </c>
      <c r="C379" s="564">
        <v>842152</v>
      </c>
      <c r="D379" s="564">
        <v>897909</v>
      </c>
      <c r="E379" s="564">
        <v>930133</v>
      </c>
      <c r="F379" s="564">
        <f>930133+104+1506</f>
        <v>931743</v>
      </c>
      <c r="G379" s="564">
        <v>931849</v>
      </c>
      <c r="H379" s="321">
        <f t="shared" si="6"/>
        <v>1.0001137652764764</v>
      </c>
    </row>
    <row r="380" spans="1:8" ht="13.5" thickBot="1">
      <c r="A380" s="314"/>
      <c r="B380" s="336" t="s">
        <v>510</v>
      </c>
      <c r="C380" s="798">
        <v>375468</v>
      </c>
      <c r="D380" s="801">
        <v>375468</v>
      </c>
      <c r="E380" s="801">
        <v>382850</v>
      </c>
      <c r="F380" s="801">
        <v>382850</v>
      </c>
      <c r="G380" s="801">
        <v>382850</v>
      </c>
      <c r="H380" s="736">
        <f t="shared" si="6"/>
        <v>1</v>
      </c>
    </row>
    <row r="381" spans="1:8" ht="13.5" thickBot="1">
      <c r="A381" s="314"/>
      <c r="B381" s="337" t="s">
        <v>66</v>
      </c>
      <c r="C381" s="799">
        <f>SUM(C378:C380)</f>
        <v>1217620</v>
      </c>
      <c r="D381" s="799">
        <f>SUM(D378:D380)</f>
        <v>1289132</v>
      </c>
      <c r="E381" s="799">
        <f>SUM(E378:E380)</f>
        <v>1328738</v>
      </c>
      <c r="F381" s="799">
        <f>SUM(F378:F380)</f>
        <v>1330348</v>
      </c>
      <c r="G381" s="799">
        <f>SUM(G378:G380)</f>
        <v>1330454</v>
      </c>
      <c r="H381" s="832">
        <f t="shared" si="6"/>
        <v>1.0000796783999375</v>
      </c>
    </row>
    <row r="382" spans="1:8" ht="15.75" thickBot="1">
      <c r="A382" s="314"/>
      <c r="B382" s="339" t="s">
        <v>80</v>
      </c>
      <c r="C382" s="800">
        <f>SUM(C375+C377+C381)</f>
        <v>1429377</v>
      </c>
      <c r="D382" s="800">
        <f>SUM(D375+D377+D381)</f>
        <v>1500889</v>
      </c>
      <c r="E382" s="800">
        <f>SUM(E375+E377+E381)</f>
        <v>1540495</v>
      </c>
      <c r="F382" s="800">
        <f>SUM(F375+F377+F381)</f>
        <v>1552332</v>
      </c>
      <c r="G382" s="800">
        <f>SUM(G375+G377+G381)</f>
        <v>1585780</v>
      </c>
      <c r="H382" s="1202">
        <f t="shared" si="6"/>
        <v>1.021546937124275</v>
      </c>
    </row>
    <row r="383" spans="1:8" ht="12.75">
      <c r="A383" s="314"/>
      <c r="B383" s="340" t="s">
        <v>344</v>
      </c>
      <c r="C383" s="818">
        <v>390370</v>
      </c>
      <c r="D383" s="564">
        <v>399511</v>
      </c>
      <c r="E383" s="564">
        <v>400101</v>
      </c>
      <c r="F383" s="564">
        <f>400101+87+1260+8558</f>
        <v>410006</v>
      </c>
      <c r="G383" s="564">
        <v>401364</v>
      </c>
      <c r="H383" s="321">
        <f t="shared" si="6"/>
        <v>0.9789222596742486</v>
      </c>
    </row>
    <row r="384" spans="1:8" ht="12.75">
      <c r="A384" s="314"/>
      <c r="B384" s="340" t="s">
        <v>345</v>
      </c>
      <c r="C384" s="818">
        <v>86820</v>
      </c>
      <c r="D384" s="564">
        <v>88611</v>
      </c>
      <c r="E384" s="564">
        <v>88734</v>
      </c>
      <c r="F384" s="564">
        <f>88734+17+246+1669</f>
        <v>90666</v>
      </c>
      <c r="G384" s="564">
        <v>87361</v>
      </c>
      <c r="H384" s="321">
        <f t="shared" si="6"/>
        <v>0.9635475260847506</v>
      </c>
    </row>
    <row r="385" spans="1:8" ht="12.75">
      <c r="A385" s="314"/>
      <c r="B385" s="340" t="s">
        <v>346</v>
      </c>
      <c r="C385" s="818">
        <v>927187</v>
      </c>
      <c r="D385" s="564">
        <v>987767</v>
      </c>
      <c r="E385" s="564">
        <v>1026660</v>
      </c>
      <c r="F385" s="564">
        <f>1026660-20549</f>
        <v>1006111</v>
      </c>
      <c r="G385" s="564">
        <v>1051506</v>
      </c>
      <c r="H385" s="321">
        <f t="shared" si="6"/>
        <v>1.04511927610373</v>
      </c>
    </row>
    <row r="386" spans="1:8" ht="12.75">
      <c r="A386" s="314"/>
      <c r="B386" s="341" t="s">
        <v>348</v>
      </c>
      <c r="C386" s="564"/>
      <c r="D386" s="564"/>
      <c r="E386" s="564"/>
      <c r="F386" s="564"/>
      <c r="G386" s="564"/>
      <c r="H386" s="321"/>
    </row>
    <row r="387" spans="1:8" ht="13.5" thickBot="1">
      <c r="A387" s="314"/>
      <c r="B387" s="342" t="s">
        <v>347</v>
      </c>
      <c r="C387" s="564"/>
      <c r="D387" s="564"/>
      <c r="E387" s="564"/>
      <c r="F387" s="564"/>
      <c r="G387" s="564"/>
      <c r="H387" s="736"/>
    </row>
    <row r="388" spans="1:8" ht="13.5" thickBot="1">
      <c r="A388" s="314"/>
      <c r="B388" s="343" t="s">
        <v>65</v>
      </c>
      <c r="C388" s="802">
        <f>SUM(C383:C387)</f>
        <v>1404377</v>
      </c>
      <c r="D388" s="802">
        <f>SUM(D383:D387)</f>
        <v>1475889</v>
      </c>
      <c r="E388" s="802">
        <f>SUM(E383:E387)</f>
        <v>1515495</v>
      </c>
      <c r="F388" s="802">
        <f>SUM(F383:F387)</f>
        <v>1506783</v>
      </c>
      <c r="G388" s="802">
        <f>SUM(G383:G387)</f>
        <v>1540231</v>
      </c>
      <c r="H388" s="832">
        <f t="shared" si="6"/>
        <v>1.0221982860172965</v>
      </c>
    </row>
    <row r="389" spans="1:8" ht="12.75">
      <c r="A389" s="314"/>
      <c r="B389" s="340" t="s">
        <v>264</v>
      </c>
      <c r="C389" s="564">
        <v>25000</v>
      </c>
      <c r="D389" s="564">
        <v>25000</v>
      </c>
      <c r="E389" s="564">
        <v>25000</v>
      </c>
      <c r="F389" s="564">
        <f>25000+20549</f>
        <v>45549</v>
      </c>
      <c r="G389" s="564">
        <f>25000+20549</f>
        <v>45549</v>
      </c>
      <c r="H389" s="321">
        <f t="shared" si="6"/>
        <v>1</v>
      </c>
    </row>
    <row r="390" spans="1:8" ht="12.75">
      <c r="A390" s="314"/>
      <c r="B390" s="340" t="s">
        <v>265</v>
      </c>
      <c r="C390" s="564"/>
      <c r="D390" s="564"/>
      <c r="E390" s="564"/>
      <c r="F390" s="564"/>
      <c r="G390" s="564"/>
      <c r="H390" s="321"/>
    </row>
    <row r="391" spans="1:8" ht="13.5" thickBot="1">
      <c r="A391" s="314"/>
      <c r="B391" s="342" t="s">
        <v>479</v>
      </c>
      <c r="C391" s="564"/>
      <c r="D391" s="806"/>
      <c r="E391" s="806"/>
      <c r="F391" s="806"/>
      <c r="G391" s="806"/>
      <c r="H391" s="736"/>
    </row>
    <row r="392" spans="1:8" ht="13.5" thickBot="1">
      <c r="A392" s="314"/>
      <c r="B392" s="344" t="s">
        <v>71</v>
      </c>
      <c r="C392" s="802">
        <f>SUM(C389:C391)</f>
        <v>25000</v>
      </c>
      <c r="D392" s="806">
        <f>SUM(D389:D391)</f>
        <v>25000</v>
      </c>
      <c r="E392" s="806">
        <f>SUM(E389:E391)</f>
        <v>25000</v>
      </c>
      <c r="F392" s="806">
        <f>SUM(F389:F391)</f>
        <v>45549</v>
      </c>
      <c r="G392" s="806">
        <f>SUM(G389:G391)</f>
        <v>45549</v>
      </c>
      <c r="H392" s="832">
        <f t="shared" si="6"/>
        <v>1</v>
      </c>
    </row>
    <row r="393" spans="1:10" ht="15.75" thickBot="1">
      <c r="A393" s="311"/>
      <c r="B393" s="345" t="s">
        <v>117</v>
      </c>
      <c r="C393" s="800">
        <f>SUM(C388+C392)</f>
        <v>1429377</v>
      </c>
      <c r="D393" s="800">
        <f>SUM(D388+D392)</f>
        <v>1500889</v>
      </c>
      <c r="E393" s="800">
        <f>SUM(E388+E392)</f>
        <v>1540495</v>
      </c>
      <c r="F393" s="800">
        <f>SUM(F388+F392)</f>
        <v>1552332</v>
      </c>
      <c r="G393" s="800">
        <f>SUM(G388+G392)</f>
        <v>1585780</v>
      </c>
      <c r="H393" s="1202">
        <f t="shared" si="6"/>
        <v>1.021546937124275</v>
      </c>
      <c r="J393" s="829"/>
    </row>
    <row r="394" spans="1:8" ht="15">
      <c r="A394" s="226">
        <v>2799</v>
      </c>
      <c r="B394" s="229" t="s">
        <v>89</v>
      </c>
      <c r="C394" s="809"/>
      <c r="D394" s="809"/>
      <c r="E394" s="809"/>
      <c r="F394" s="809"/>
      <c r="G394" s="809"/>
      <c r="H394" s="321"/>
    </row>
    <row r="395" spans="1:8" ht="12.75">
      <c r="A395" s="314"/>
      <c r="B395" s="316" t="s">
        <v>201</v>
      </c>
      <c r="C395" s="592"/>
      <c r="D395" s="592"/>
      <c r="E395" s="592"/>
      <c r="F395" s="592"/>
      <c r="G395" s="592"/>
      <c r="H395" s="321"/>
    </row>
    <row r="396" spans="1:8" ht="13.5" thickBot="1">
      <c r="A396" s="314"/>
      <c r="B396" s="317" t="s">
        <v>202</v>
      </c>
      <c r="C396" s="810">
        <f>C326+C362</f>
        <v>0</v>
      </c>
      <c r="D396" s="810">
        <f>D326+D362</f>
        <v>0</v>
      </c>
      <c r="E396" s="810">
        <f>E326+E362</f>
        <v>3256</v>
      </c>
      <c r="F396" s="810">
        <f>F326+F362</f>
        <v>3256</v>
      </c>
      <c r="G396" s="810">
        <f>G326+G362</f>
        <v>11795</v>
      </c>
      <c r="H396" s="736">
        <f aca="true" t="shared" si="9" ref="H396:H457">SUM(G396/F396)</f>
        <v>3.6225429975429977</v>
      </c>
    </row>
    <row r="397" spans="1:8" ht="13.5" thickBot="1">
      <c r="A397" s="314"/>
      <c r="B397" s="318" t="s">
        <v>215</v>
      </c>
      <c r="C397" s="811">
        <f>SUM(C396)</f>
        <v>0</v>
      </c>
      <c r="D397" s="811">
        <f>SUM(D396)</f>
        <v>0</v>
      </c>
      <c r="E397" s="811">
        <f>SUM(E396)</f>
        <v>3256</v>
      </c>
      <c r="F397" s="811">
        <f>SUM(F396)</f>
        <v>3256</v>
      </c>
      <c r="G397" s="811">
        <f>SUM(G396)</f>
        <v>11795</v>
      </c>
      <c r="H397" s="832">
        <f t="shared" si="9"/>
        <v>3.6225429975429977</v>
      </c>
    </row>
    <row r="398" spans="1:8" ht="12.75">
      <c r="A398" s="314"/>
      <c r="B398" s="316" t="s">
        <v>204</v>
      </c>
      <c r="C398" s="564">
        <f>SUM(C399:C400)</f>
        <v>36422</v>
      </c>
      <c r="D398" s="564">
        <f>SUM(D399:D400)</f>
        <v>36422</v>
      </c>
      <c r="E398" s="564">
        <f>SUM(E399:E400)</f>
        <v>36422</v>
      </c>
      <c r="F398" s="564">
        <f>SUM(F399:F400)</f>
        <v>36422</v>
      </c>
      <c r="G398" s="564">
        <f>SUM(G399:G400)</f>
        <v>41718</v>
      </c>
      <c r="H398" s="321">
        <f t="shared" si="9"/>
        <v>1.1454066223710944</v>
      </c>
    </row>
    <row r="399" spans="1:8" ht="12.75">
      <c r="A399" s="314"/>
      <c r="B399" s="322" t="s">
        <v>205</v>
      </c>
      <c r="C399" s="805">
        <f aca="true" t="shared" si="10" ref="C399:F403">SUM(C365+C329)</f>
        <v>0</v>
      </c>
      <c r="D399" s="805">
        <f t="shared" si="10"/>
        <v>0</v>
      </c>
      <c r="E399" s="805">
        <f t="shared" si="10"/>
        <v>0</v>
      </c>
      <c r="F399" s="805">
        <f t="shared" si="10"/>
        <v>6411</v>
      </c>
      <c r="G399" s="805">
        <f>SUM(G365+G329)</f>
        <v>7653</v>
      </c>
      <c r="H399" s="321">
        <f t="shared" si="9"/>
        <v>1.1937295273748245</v>
      </c>
    </row>
    <row r="400" spans="1:8" ht="12.75">
      <c r="A400" s="314"/>
      <c r="B400" s="322" t="s">
        <v>206</v>
      </c>
      <c r="C400" s="805">
        <f t="shared" si="10"/>
        <v>36422</v>
      </c>
      <c r="D400" s="805">
        <f t="shared" si="10"/>
        <v>36422</v>
      </c>
      <c r="E400" s="805">
        <f t="shared" si="10"/>
        <v>36422</v>
      </c>
      <c r="F400" s="805">
        <f t="shared" si="10"/>
        <v>30011</v>
      </c>
      <c r="G400" s="805">
        <f>SUM(G366+G330)</f>
        <v>34065</v>
      </c>
      <c r="H400" s="321">
        <f t="shared" si="9"/>
        <v>1.1350838026057113</v>
      </c>
    </row>
    <row r="401" spans="1:8" ht="12.75">
      <c r="A401" s="314"/>
      <c r="B401" s="324" t="s">
        <v>207</v>
      </c>
      <c r="C401" s="564">
        <f t="shared" si="10"/>
        <v>3324</v>
      </c>
      <c r="D401" s="564">
        <f t="shared" si="10"/>
        <v>3324</v>
      </c>
      <c r="E401" s="564">
        <f t="shared" si="10"/>
        <v>3430</v>
      </c>
      <c r="F401" s="564">
        <f t="shared" si="10"/>
        <v>8937</v>
      </c>
      <c r="G401" s="564">
        <f>SUM(G367+G331)</f>
        <v>11515</v>
      </c>
      <c r="H401" s="321">
        <f t="shared" si="9"/>
        <v>1.288463690276379</v>
      </c>
    </row>
    <row r="402" spans="1:8" ht="12.75">
      <c r="A402" s="314"/>
      <c r="B402" s="324" t="s">
        <v>208</v>
      </c>
      <c r="C402" s="564">
        <f t="shared" si="10"/>
        <v>126992</v>
      </c>
      <c r="D402" s="564">
        <f t="shared" si="10"/>
        <v>126992</v>
      </c>
      <c r="E402" s="564">
        <f t="shared" si="10"/>
        <v>126992</v>
      </c>
      <c r="F402" s="564">
        <f t="shared" si="10"/>
        <v>126992</v>
      </c>
      <c r="G402" s="564">
        <f>SUM(G368+G332)</f>
        <v>144014</v>
      </c>
      <c r="H402" s="321">
        <f t="shared" si="9"/>
        <v>1.1340399395237495</v>
      </c>
    </row>
    <row r="403" spans="1:8" ht="12.75">
      <c r="A403" s="314"/>
      <c r="B403" s="324" t="s">
        <v>209</v>
      </c>
      <c r="C403" s="564">
        <f t="shared" si="10"/>
        <v>45019</v>
      </c>
      <c r="D403" s="564">
        <f t="shared" si="10"/>
        <v>45019</v>
      </c>
      <c r="E403" s="564">
        <f t="shared" si="10"/>
        <v>45019</v>
      </c>
      <c r="F403" s="564">
        <f t="shared" si="10"/>
        <v>45019</v>
      </c>
      <c r="G403" s="564">
        <f>SUM(G369+G333)</f>
        <v>53893</v>
      </c>
      <c r="H403" s="321">
        <f t="shared" si="9"/>
        <v>1.1971167729181011</v>
      </c>
    </row>
    <row r="404" spans="1:8" ht="12.75">
      <c r="A404" s="314"/>
      <c r="B404" s="324" t="s">
        <v>370</v>
      </c>
      <c r="C404" s="564">
        <f>C334</f>
        <v>0</v>
      </c>
      <c r="D404" s="564">
        <f>D334</f>
        <v>0</v>
      </c>
      <c r="E404" s="564">
        <f>E334</f>
        <v>0</v>
      </c>
      <c r="F404" s="564">
        <f>F334</f>
        <v>0</v>
      </c>
      <c r="G404" s="564">
        <f>G334</f>
        <v>0</v>
      </c>
      <c r="H404" s="321"/>
    </row>
    <row r="405" spans="1:8" ht="12.75">
      <c r="A405" s="314"/>
      <c r="B405" s="325" t="s">
        <v>500</v>
      </c>
      <c r="C405" s="564">
        <f aca="true" t="shared" si="11" ref="C405:F406">SUM(C370+C335)</f>
        <v>0</v>
      </c>
      <c r="D405" s="564">
        <f t="shared" si="11"/>
        <v>0</v>
      </c>
      <c r="E405" s="564">
        <f t="shared" si="11"/>
        <v>0</v>
      </c>
      <c r="F405" s="564">
        <f t="shared" si="11"/>
        <v>0</v>
      </c>
      <c r="G405" s="564">
        <f>SUM(G370+G335)</f>
        <v>3</v>
      </c>
      <c r="H405" s="321"/>
    </row>
    <row r="406" spans="1:8" ht="13.5" thickBot="1">
      <c r="A406" s="314"/>
      <c r="B406" s="326" t="s">
        <v>210</v>
      </c>
      <c r="C406" s="564">
        <f t="shared" si="11"/>
        <v>0</v>
      </c>
      <c r="D406" s="564">
        <f t="shared" si="11"/>
        <v>0</v>
      </c>
      <c r="E406" s="564">
        <f t="shared" si="11"/>
        <v>328</v>
      </c>
      <c r="F406" s="564">
        <f t="shared" si="11"/>
        <v>5048</v>
      </c>
      <c r="G406" s="564">
        <f>SUM(G371+G336)</f>
        <v>5160</v>
      </c>
      <c r="H406" s="736">
        <f t="shared" si="9"/>
        <v>1.0221870047543582</v>
      </c>
    </row>
    <row r="407" spans="1:8" ht="13.5" thickBot="1">
      <c r="A407" s="314"/>
      <c r="B407" s="328" t="s">
        <v>366</v>
      </c>
      <c r="C407" s="802">
        <f>SUM(C398+C401+C402+C403+C406+C404+C405)</f>
        <v>211757</v>
      </c>
      <c r="D407" s="802">
        <f>SUM(D398+D401+D402+D403+D406+D404+D405)</f>
        <v>211757</v>
      </c>
      <c r="E407" s="802">
        <f>SUM(E398+E401+E402+E403+E406+E404+E405)</f>
        <v>212191</v>
      </c>
      <c r="F407" s="802">
        <f>SUM(F398+F401+F402+F403+F406+F404+F405)</f>
        <v>222418</v>
      </c>
      <c r="G407" s="802">
        <f>SUM(G398+G401+G402+G403+G406+G404+G405)</f>
        <v>256303</v>
      </c>
      <c r="H407" s="832">
        <f t="shared" si="9"/>
        <v>1.1523482811642942</v>
      </c>
    </row>
    <row r="408" spans="1:8" ht="13.5" thickBot="1">
      <c r="A408" s="314"/>
      <c r="B408" s="147" t="s">
        <v>240</v>
      </c>
      <c r="C408" s="802"/>
      <c r="D408" s="802"/>
      <c r="E408" s="802"/>
      <c r="F408" s="802">
        <f>F339+F374</f>
        <v>0</v>
      </c>
      <c r="G408" s="802">
        <f>G339+G374</f>
        <v>0</v>
      </c>
      <c r="H408" s="831"/>
    </row>
    <row r="409" spans="1:8" ht="13.5" thickBot="1">
      <c r="A409" s="314"/>
      <c r="B409" s="587" t="s">
        <v>241</v>
      </c>
      <c r="C409" s="802"/>
      <c r="D409" s="802"/>
      <c r="E409" s="802"/>
      <c r="F409" s="802">
        <f>F408</f>
        <v>0</v>
      </c>
      <c r="G409" s="802">
        <f>G408</f>
        <v>0</v>
      </c>
      <c r="H409" s="831"/>
    </row>
    <row r="410" spans="1:8" ht="13.5" thickBot="1">
      <c r="A410" s="314"/>
      <c r="B410" s="331" t="s">
        <v>72</v>
      </c>
      <c r="C410" s="808">
        <f>SUM(C407+C397)</f>
        <v>211757</v>
      </c>
      <c r="D410" s="808">
        <f>SUM(D407+D397)</f>
        <v>211757</v>
      </c>
      <c r="E410" s="808">
        <f>SUM(E407+E397)</f>
        <v>215447</v>
      </c>
      <c r="F410" s="808">
        <f>SUM(F407+F397+F409)</f>
        <v>225674</v>
      </c>
      <c r="G410" s="808">
        <f>SUM(G407+G397+G409)</f>
        <v>268098</v>
      </c>
      <c r="H410" s="832">
        <f t="shared" si="9"/>
        <v>1.1879879826652604</v>
      </c>
    </row>
    <row r="411" spans="1:8" ht="12.75">
      <c r="A411" s="314"/>
      <c r="B411" s="827" t="s">
        <v>514</v>
      </c>
      <c r="C411" s="797">
        <f>SUM(C341)</f>
        <v>0</v>
      </c>
      <c r="D411" s="797">
        <f>SUM(D341)</f>
        <v>0</v>
      </c>
      <c r="E411" s="797">
        <f>SUM(E341)</f>
        <v>1885</v>
      </c>
      <c r="F411" s="797">
        <f>SUM(F341)</f>
        <v>1885</v>
      </c>
      <c r="G411" s="797">
        <f>SUM(G341)</f>
        <v>1885</v>
      </c>
      <c r="H411" s="321">
        <f t="shared" si="9"/>
        <v>1</v>
      </c>
    </row>
    <row r="412" spans="1:8" ht="13.5" thickBot="1">
      <c r="A412" s="314"/>
      <c r="B412" s="793" t="s">
        <v>515</v>
      </c>
      <c r="C412" s="795">
        <f>SUM(C376)</f>
        <v>0</v>
      </c>
      <c r="D412" s="795">
        <f>SUM(D376)</f>
        <v>0</v>
      </c>
      <c r="E412" s="795">
        <f>SUM(E376)</f>
        <v>0</v>
      </c>
      <c r="F412" s="795">
        <f>SUM(F376)</f>
        <v>0</v>
      </c>
      <c r="G412" s="795">
        <f>SUM(G376)</f>
        <v>0</v>
      </c>
      <c r="H412" s="736"/>
    </row>
    <row r="413" spans="1:8" ht="13.5" thickBot="1">
      <c r="A413" s="314"/>
      <c r="B413" s="333" t="s">
        <v>73</v>
      </c>
      <c r="C413" s="819">
        <f>SUM(C411:C412)</f>
        <v>0</v>
      </c>
      <c r="D413" s="819">
        <f>SUM(D411:D412)</f>
        <v>0</v>
      </c>
      <c r="E413" s="819">
        <f>SUM(E411:E412)</f>
        <v>1885</v>
      </c>
      <c r="F413" s="819">
        <f>SUM(F411:F412)</f>
        <v>1885</v>
      </c>
      <c r="G413" s="819">
        <f>SUM(G411:G412)</f>
        <v>1885</v>
      </c>
      <c r="H413" s="832">
        <f t="shared" si="9"/>
        <v>1</v>
      </c>
    </row>
    <row r="414" spans="1:8" ht="12.75">
      <c r="A414" s="314"/>
      <c r="B414" s="785" t="s">
        <v>470</v>
      </c>
      <c r="C414" s="565">
        <f aca="true" t="shared" si="12" ref="C414:F415">SUM(C378+C343)</f>
        <v>0</v>
      </c>
      <c r="D414" s="565">
        <f t="shared" si="12"/>
        <v>24264</v>
      </c>
      <c r="E414" s="565">
        <f t="shared" si="12"/>
        <v>24264</v>
      </c>
      <c r="F414" s="565">
        <f t="shared" si="12"/>
        <v>24264</v>
      </c>
      <c r="G414" s="565">
        <f>SUM(G378+G343)</f>
        <v>24264</v>
      </c>
      <c r="H414" s="321">
        <f t="shared" si="9"/>
        <v>1</v>
      </c>
    </row>
    <row r="415" spans="1:8" ht="12.75">
      <c r="A415" s="314"/>
      <c r="B415" s="335" t="s">
        <v>507</v>
      </c>
      <c r="C415" s="564">
        <f t="shared" si="12"/>
        <v>1938479</v>
      </c>
      <c r="D415" s="564">
        <f t="shared" si="12"/>
        <v>2024905</v>
      </c>
      <c r="E415" s="564">
        <f t="shared" si="12"/>
        <v>2057519</v>
      </c>
      <c r="F415" s="564">
        <f t="shared" si="12"/>
        <v>2064155</v>
      </c>
      <c r="G415" s="564">
        <f>SUM(G379+G344)</f>
        <v>2064336</v>
      </c>
      <c r="H415" s="321">
        <f t="shared" si="9"/>
        <v>1.0000876872134117</v>
      </c>
    </row>
    <row r="416" spans="1:8" ht="13.5" thickBot="1">
      <c r="A416" s="314"/>
      <c r="B416" s="336" t="s">
        <v>510</v>
      </c>
      <c r="C416" s="801">
        <f>SUM(C380)</f>
        <v>375468</v>
      </c>
      <c r="D416" s="801">
        <f>SUM(D380)</f>
        <v>375468</v>
      </c>
      <c r="E416" s="801">
        <f>SUM(E380)</f>
        <v>382850</v>
      </c>
      <c r="F416" s="801">
        <f>SUM(F380)</f>
        <v>382850</v>
      </c>
      <c r="G416" s="801">
        <f>SUM(G380)</f>
        <v>382850</v>
      </c>
      <c r="H416" s="736">
        <f t="shared" si="9"/>
        <v>1</v>
      </c>
    </row>
    <row r="417" spans="1:8" ht="13.5" thickBot="1">
      <c r="A417" s="314"/>
      <c r="B417" s="337" t="s">
        <v>66</v>
      </c>
      <c r="C417" s="799">
        <f>SUM(C414:C416)</f>
        <v>2313947</v>
      </c>
      <c r="D417" s="799">
        <f>SUM(D414:D416)</f>
        <v>2424637</v>
      </c>
      <c r="E417" s="799">
        <f>SUM(E414:E416)</f>
        <v>2464633</v>
      </c>
      <c r="F417" s="799">
        <f>SUM(F414:F416)</f>
        <v>2471269</v>
      </c>
      <c r="G417" s="799">
        <f>SUM(G414:G416)</f>
        <v>2471450</v>
      </c>
      <c r="H417" s="832">
        <f t="shared" si="9"/>
        <v>1.0000732417231795</v>
      </c>
    </row>
    <row r="418" spans="1:8" ht="13.5" thickBot="1">
      <c r="A418" s="314"/>
      <c r="B418" s="249" t="s">
        <v>470</v>
      </c>
      <c r="C418" s="795">
        <f>SUM(C347)</f>
        <v>0</v>
      </c>
      <c r="D418" s="795">
        <f>SUM(D347)</f>
        <v>0</v>
      </c>
      <c r="E418" s="795">
        <f>SUM(E347)</f>
        <v>0</v>
      </c>
      <c r="F418" s="795">
        <f>SUM(F347)</f>
        <v>0</v>
      </c>
      <c r="G418" s="795">
        <f>SUM(G347)</f>
        <v>0</v>
      </c>
      <c r="H418" s="831"/>
    </row>
    <row r="419" spans="1:8" ht="13.5" thickBot="1">
      <c r="A419" s="314"/>
      <c r="B419" s="337" t="s">
        <v>68</v>
      </c>
      <c r="C419" s="799">
        <f>SUM(C418)</f>
        <v>0</v>
      </c>
      <c r="D419" s="799">
        <f>SUM(D418)</f>
        <v>0</v>
      </c>
      <c r="E419" s="799">
        <f>SUM(E418)</f>
        <v>0</v>
      </c>
      <c r="F419" s="799">
        <f>SUM(F418)</f>
        <v>0</v>
      </c>
      <c r="G419" s="799">
        <f>SUM(G418)</f>
        <v>0</v>
      </c>
      <c r="H419" s="831"/>
    </row>
    <row r="420" spans="1:8" ht="15.75" thickBot="1">
      <c r="A420" s="314"/>
      <c r="B420" s="339" t="s">
        <v>80</v>
      </c>
      <c r="C420" s="800">
        <f>SUM(C410+C413+C417+C419)</f>
        <v>2525704</v>
      </c>
      <c r="D420" s="800">
        <f>SUM(D410+D413+D417+D419)</f>
        <v>2636394</v>
      </c>
      <c r="E420" s="800">
        <f>SUM(E410+E413+E417+E419)</f>
        <v>2681965</v>
      </c>
      <c r="F420" s="800">
        <f>SUM(F410+F413+F417+F419)</f>
        <v>2698828</v>
      </c>
      <c r="G420" s="800">
        <f>SUM(G410+G413+G417+G419)</f>
        <v>2741433</v>
      </c>
      <c r="H420" s="1202">
        <f t="shared" si="9"/>
        <v>1.015786482132244</v>
      </c>
    </row>
    <row r="421" spans="1:8" ht="12.75">
      <c r="A421" s="314"/>
      <c r="B421" s="340" t="s">
        <v>344</v>
      </c>
      <c r="C421" s="564">
        <f aca="true" t="shared" si="13" ref="C421:F425">SUM(C383+C349)</f>
        <v>1247965</v>
      </c>
      <c r="D421" s="564">
        <f t="shared" si="13"/>
        <v>1281514</v>
      </c>
      <c r="E421" s="564">
        <f t="shared" si="13"/>
        <v>1283430</v>
      </c>
      <c r="F421" s="564">
        <f t="shared" si="13"/>
        <v>1297541</v>
      </c>
      <c r="G421" s="564">
        <f>SUM(G383+G349)</f>
        <v>1288411</v>
      </c>
      <c r="H421" s="321">
        <f t="shared" si="9"/>
        <v>0.9929636134811926</v>
      </c>
    </row>
    <row r="422" spans="1:8" ht="12.75">
      <c r="A422" s="314"/>
      <c r="B422" s="340" t="s">
        <v>345</v>
      </c>
      <c r="C422" s="564">
        <f t="shared" si="13"/>
        <v>270353</v>
      </c>
      <c r="D422" s="564">
        <f t="shared" si="13"/>
        <v>276914</v>
      </c>
      <c r="E422" s="564">
        <f t="shared" si="13"/>
        <v>277296</v>
      </c>
      <c r="F422" s="564">
        <f t="shared" si="13"/>
        <v>280048</v>
      </c>
      <c r="G422" s="564">
        <f>SUM(G384+G350)</f>
        <v>276756</v>
      </c>
      <c r="H422" s="321">
        <f t="shared" si="9"/>
        <v>0.9882448723076044</v>
      </c>
    </row>
    <row r="423" spans="1:8" ht="12.75">
      <c r="A423" s="314"/>
      <c r="B423" s="340" t="s">
        <v>346</v>
      </c>
      <c r="C423" s="564">
        <f t="shared" si="13"/>
        <v>967869</v>
      </c>
      <c r="D423" s="564">
        <f t="shared" si="13"/>
        <v>1038449</v>
      </c>
      <c r="E423" s="564">
        <f t="shared" si="13"/>
        <v>1079130</v>
      </c>
      <c r="F423" s="564">
        <f t="shared" si="13"/>
        <v>1056212</v>
      </c>
      <c r="G423" s="564">
        <f>SUM(G385+G351)</f>
        <v>1110678</v>
      </c>
      <c r="H423" s="321">
        <f t="shared" si="9"/>
        <v>1.051567298989218</v>
      </c>
    </row>
    <row r="424" spans="1:8" ht="12.75">
      <c r="A424" s="314"/>
      <c r="B424" s="341" t="s">
        <v>348</v>
      </c>
      <c r="C424" s="564">
        <f t="shared" si="13"/>
        <v>0</v>
      </c>
      <c r="D424" s="564">
        <f t="shared" si="13"/>
        <v>0</v>
      </c>
      <c r="E424" s="564">
        <f t="shared" si="13"/>
        <v>0</v>
      </c>
      <c r="F424" s="564">
        <f t="shared" si="13"/>
        <v>0</v>
      </c>
      <c r="G424" s="564">
        <f>SUM(G386+G352)</f>
        <v>0</v>
      </c>
      <c r="H424" s="321"/>
    </row>
    <row r="425" spans="1:8" ht="13.5" thickBot="1">
      <c r="A425" s="314"/>
      <c r="B425" s="342" t="s">
        <v>347</v>
      </c>
      <c r="C425" s="564">
        <f t="shared" si="13"/>
        <v>0</v>
      </c>
      <c r="D425" s="564">
        <f t="shared" si="13"/>
        <v>0</v>
      </c>
      <c r="E425" s="564">
        <f t="shared" si="13"/>
        <v>7</v>
      </c>
      <c r="F425" s="564">
        <f t="shared" si="13"/>
        <v>76</v>
      </c>
      <c r="G425" s="564">
        <f>SUM(G387+G353)</f>
        <v>76</v>
      </c>
      <c r="H425" s="736">
        <f t="shared" si="9"/>
        <v>1</v>
      </c>
    </row>
    <row r="426" spans="1:8" ht="13.5" thickBot="1">
      <c r="A426" s="314"/>
      <c r="B426" s="343" t="s">
        <v>65</v>
      </c>
      <c r="C426" s="802">
        <f>SUM(C421:C425)</f>
        <v>2486187</v>
      </c>
      <c r="D426" s="802">
        <f>SUM(D421:D425)</f>
        <v>2596877</v>
      </c>
      <c r="E426" s="802">
        <f>SUM(E421:E425)</f>
        <v>2639863</v>
      </c>
      <c r="F426" s="802">
        <f>SUM(F421:F425)</f>
        <v>2633877</v>
      </c>
      <c r="G426" s="802">
        <f>SUM(G421:G425)</f>
        <v>2675921</v>
      </c>
      <c r="H426" s="832">
        <f t="shared" si="9"/>
        <v>1.0159627803424383</v>
      </c>
    </row>
    <row r="427" spans="1:8" ht="12.75">
      <c r="A427" s="314"/>
      <c r="B427" s="340" t="s">
        <v>264</v>
      </c>
      <c r="C427" s="564">
        <f aca="true" t="shared" si="14" ref="C427:F428">SUM(C389+C355)</f>
        <v>39517</v>
      </c>
      <c r="D427" s="564">
        <f t="shared" si="14"/>
        <v>39517</v>
      </c>
      <c r="E427" s="564">
        <f t="shared" si="14"/>
        <v>42102</v>
      </c>
      <c r="F427" s="564">
        <f t="shared" si="14"/>
        <v>64951</v>
      </c>
      <c r="G427" s="564">
        <f>SUM(G389+G355)</f>
        <v>65512</v>
      </c>
      <c r="H427" s="321">
        <f t="shared" si="9"/>
        <v>1.008637280411387</v>
      </c>
    </row>
    <row r="428" spans="1:8" ht="12.75">
      <c r="A428" s="314"/>
      <c r="B428" s="340" t="s">
        <v>265</v>
      </c>
      <c r="C428" s="564">
        <f t="shared" si="14"/>
        <v>0</v>
      </c>
      <c r="D428" s="564">
        <f t="shared" si="14"/>
        <v>0</v>
      </c>
      <c r="E428" s="564">
        <f t="shared" si="14"/>
        <v>0</v>
      </c>
      <c r="F428" s="564">
        <f t="shared" si="14"/>
        <v>0</v>
      </c>
      <c r="G428" s="564">
        <f>SUM(G390+G356)</f>
        <v>0</v>
      </c>
      <c r="H428" s="321"/>
    </row>
    <row r="429" spans="1:8" ht="13.5" thickBot="1">
      <c r="A429" s="314"/>
      <c r="B429" s="342" t="s">
        <v>479</v>
      </c>
      <c r="C429" s="801"/>
      <c r="D429" s="801"/>
      <c r="E429" s="801"/>
      <c r="F429" s="801"/>
      <c r="G429" s="801"/>
      <c r="H429" s="736"/>
    </row>
    <row r="430" spans="1:8" ht="13.5" thickBot="1">
      <c r="A430" s="314"/>
      <c r="B430" s="344" t="s">
        <v>71</v>
      </c>
      <c r="C430" s="802">
        <f>SUM(C427:C429)</f>
        <v>39517</v>
      </c>
      <c r="D430" s="802">
        <f>SUM(D427:D429)</f>
        <v>39517</v>
      </c>
      <c r="E430" s="802">
        <f>SUM(E427:E429)</f>
        <v>42102</v>
      </c>
      <c r="F430" s="802">
        <f>SUM(F427:F429)</f>
        <v>64951</v>
      </c>
      <c r="G430" s="802">
        <f>SUM(G427:G429)</f>
        <v>65512</v>
      </c>
      <c r="H430" s="832">
        <f t="shared" si="9"/>
        <v>1.008637280411387</v>
      </c>
    </row>
    <row r="431" spans="1:8" ht="15.75" thickBot="1">
      <c r="A431" s="311"/>
      <c r="B431" s="345" t="s">
        <v>117</v>
      </c>
      <c r="C431" s="800">
        <f>SUM(C426+C430)</f>
        <v>2525704</v>
      </c>
      <c r="D431" s="800">
        <f>SUM(D426+D430)</f>
        <v>2636394</v>
      </c>
      <c r="E431" s="800">
        <f>SUM(E426+E430)</f>
        <v>2681965</v>
      </c>
      <c r="F431" s="800">
        <f>SUM(F426+F430)</f>
        <v>2698828</v>
      </c>
      <c r="G431" s="800">
        <f>SUM(G426+G430)</f>
        <v>2741433</v>
      </c>
      <c r="H431" s="1202">
        <f t="shared" si="9"/>
        <v>1.015786482132244</v>
      </c>
    </row>
    <row r="432" spans="1:8" ht="15">
      <c r="A432" s="226">
        <v>2850</v>
      </c>
      <c r="B432" s="229" t="s">
        <v>358</v>
      </c>
      <c r="C432" s="564"/>
      <c r="D432" s="564"/>
      <c r="E432" s="564"/>
      <c r="F432" s="564"/>
      <c r="G432" s="564"/>
      <c r="H432" s="321"/>
    </row>
    <row r="433" spans="1:8" ht="12" customHeight="1">
      <c r="A433" s="314"/>
      <c r="B433" s="316" t="s">
        <v>201</v>
      </c>
      <c r="C433" s="592"/>
      <c r="D433" s="592"/>
      <c r="E433" s="592"/>
      <c r="F433" s="592"/>
      <c r="G433" s="592"/>
      <c r="H433" s="321"/>
    </row>
    <row r="434" spans="1:8" ht="13.5" thickBot="1">
      <c r="A434" s="314"/>
      <c r="B434" s="317" t="s">
        <v>202</v>
      </c>
      <c r="C434" s="820"/>
      <c r="D434" s="820">
        <v>350</v>
      </c>
      <c r="E434" s="820">
        <v>350</v>
      </c>
      <c r="F434" s="820">
        <v>350</v>
      </c>
      <c r="G434" s="820">
        <v>1205</v>
      </c>
      <c r="H434" s="736">
        <f t="shared" si="9"/>
        <v>3.442857142857143</v>
      </c>
    </row>
    <row r="435" spans="1:8" ht="13.5" thickBot="1">
      <c r="A435" s="314"/>
      <c r="B435" s="318" t="s">
        <v>215</v>
      </c>
      <c r="C435" s="821">
        <f>SUM(C434)</f>
        <v>0</v>
      </c>
      <c r="D435" s="821">
        <f>SUM(D434)</f>
        <v>350</v>
      </c>
      <c r="E435" s="821">
        <f>SUM(E434)</f>
        <v>350</v>
      </c>
      <c r="F435" s="821">
        <f>SUM(F434)</f>
        <v>350</v>
      </c>
      <c r="G435" s="821">
        <f>SUM(G434)</f>
        <v>1205</v>
      </c>
      <c r="H435" s="832">
        <f t="shared" si="9"/>
        <v>3.442857142857143</v>
      </c>
    </row>
    <row r="436" spans="1:8" ht="12.75">
      <c r="A436" s="314"/>
      <c r="B436" s="316" t="s">
        <v>204</v>
      </c>
      <c r="C436" s="564">
        <f>SUM(C437)</f>
        <v>945</v>
      </c>
      <c r="D436" s="564">
        <f>SUM(D437)</f>
        <v>945</v>
      </c>
      <c r="E436" s="564">
        <f>SUM(E437)</f>
        <v>945</v>
      </c>
      <c r="F436" s="564">
        <f>SUM(F437)</f>
        <v>509</v>
      </c>
      <c r="G436" s="564">
        <f>SUM(G437)</f>
        <v>509</v>
      </c>
      <c r="H436" s="321">
        <f t="shared" si="9"/>
        <v>1</v>
      </c>
    </row>
    <row r="437" spans="1:8" ht="12.75">
      <c r="A437" s="314"/>
      <c r="B437" s="322" t="s">
        <v>205</v>
      </c>
      <c r="C437" s="805">
        <v>945</v>
      </c>
      <c r="D437" s="805">
        <v>945</v>
      </c>
      <c r="E437" s="805">
        <v>945</v>
      </c>
      <c r="F437" s="805">
        <f>945-436</f>
        <v>509</v>
      </c>
      <c r="G437" s="805">
        <f>945-436</f>
        <v>509</v>
      </c>
      <c r="H437" s="321">
        <f t="shared" si="9"/>
        <v>1</v>
      </c>
    </row>
    <row r="438" spans="1:8" ht="12.75">
      <c r="A438" s="314"/>
      <c r="B438" s="322" t="s">
        <v>206</v>
      </c>
      <c r="C438" s="805"/>
      <c r="D438" s="805"/>
      <c r="E438" s="805"/>
      <c r="F438" s="805"/>
      <c r="G438" s="805"/>
      <c r="H438" s="321"/>
    </row>
    <row r="439" spans="1:8" ht="12.75">
      <c r="A439" s="314"/>
      <c r="B439" s="324" t="s">
        <v>207</v>
      </c>
      <c r="C439" s="564">
        <v>3850</v>
      </c>
      <c r="D439" s="564">
        <v>3850</v>
      </c>
      <c r="E439" s="564">
        <v>3850</v>
      </c>
      <c r="F439" s="564">
        <f>3850-1000</f>
        <v>2850</v>
      </c>
      <c r="G439" s="564">
        <v>2397</v>
      </c>
      <c r="H439" s="321">
        <f t="shared" si="9"/>
        <v>0.8410526315789474</v>
      </c>
    </row>
    <row r="440" spans="1:8" ht="12.75">
      <c r="A440" s="314"/>
      <c r="B440" s="324" t="s">
        <v>208</v>
      </c>
      <c r="C440" s="564">
        <v>11979</v>
      </c>
      <c r="D440" s="564">
        <v>11979</v>
      </c>
      <c r="E440" s="564">
        <v>11979</v>
      </c>
      <c r="F440" s="564">
        <f>11979+2562</f>
        <v>14541</v>
      </c>
      <c r="G440" s="564">
        <v>16722</v>
      </c>
      <c r="H440" s="321">
        <f t="shared" si="9"/>
        <v>1.1499896843408295</v>
      </c>
    </row>
    <row r="441" spans="1:8" ht="12.75">
      <c r="A441" s="314"/>
      <c r="B441" s="324" t="s">
        <v>209</v>
      </c>
      <c r="C441" s="564">
        <v>3224</v>
      </c>
      <c r="D441" s="564">
        <v>3224</v>
      </c>
      <c r="E441" s="564">
        <v>3224</v>
      </c>
      <c r="F441" s="564">
        <v>3224</v>
      </c>
      <c r="G441" s="564">
        <v>3941</v>
      </c>
      <c r="H441" s="321">
        <f t="shared" si="9"/>
        <v>1.222394540942928</v>
      </c>
    </row>
    <row r="442" spans="1:8" ht="12.75">
      <c r="A442" s="314"/>
      <c r="B442" s="324" t="s">
        <v>370</v>
      </c>
      <c r="C442" s="564"/>
      <c r="D442" s="564"/>
      <c r="E442" s="564"/>
      <c r="F442" s="564"/>
      <c r="G442" s="564"/>
      <c r="H442" s="321"/>
    </row>
    <row r="443" spans="1:8" ht="12.75">
      <c r="A443" s="314"/>
      <c r="B443" s="325" t="s">
        <v>500</v>
      </c>
      <c r="C443" s="564"/>
      <c r="D443" s="564"/>
      <c r="E443" s="564"/>
      <c r="F443" s="564"/>
      <c r="G443" s="564"/>
      <c r="H443" s="321"/>
    </row>
    <row r="444" spans="1:8" ht="13.5" thickBot="1">
      <c r="A444" s="314"/>
      <c r="B444" s="326" t="s">
        <v>210</v>
      </c>
      <c r="C444" s="564"/>
      <c r="D444" s="564"/>
      <c r="E444" s="564"/>
      <c r="F444" s="564"/>
      <c r="G444" s="564"/>
      <c r="H444" s="736"/>
    </row>
    <row r="445" spans="1:8" ht="13.5" thickBot="1">
      <c r="A445" s="314"/>
      <c r="B445" s="328" t="s">
        <v>366</v>
      </c>
      <c r="C445" s="802">
        <f>SUM(C436+C439+C440+C441+C444+C442)</f>
        <v>19998</v>
      </c>
      <c r="D445" s="802">
        <f>SUM(D436+D439+D440+D441+D444+D442)</f>
        <v>19998</v>
      </c>
      <c r="E445" s="802">
        <f>SUM(E436+E439+E440+E441+E444+E442)</f>
        <v>19998</v>
      </c>
      <c r="F445" s="802">
        <f>SUM(F436+F439+F440+F441+F444+F442)</f>
        <v>21124</v>
      </c>
      <c r="G445" s="802">
        <f>SUM(G436+G439+G440+G441+G444+G442)</f>
        <v>23569</v>
      </c>
      <c r="H445" s="832">
        <f t="shared" si="9"/>
        <v>1.11574512402954</v>
      </c>
    </row>
    <row r="446" spans="1:8" ht="13.5" thickBot="1">
      <c r="A446" s="314"/>
      <c r="B446" s="147" t="s">
        <v>240</v>
      </c>
      <c r="C446" s="802"/>
      <c r="D446" s="802"/>
      <c r="E446" s="802"/>
      <c r="F446" s="802"/>
      <c r="G446" s="802"/>
      <c r="H446" s="831"/>
    </row>
    <row r="447" spans="1:8" ht="13.5" thickBot="1">
      <c r="A447" s="314"/>
      <c r="B447" s="587" t="s">
        <v>241</v>
      </c>
      <c r="C447" s="802"/>
      <c r="D447" s="802"/>
      <c r="E447" s="802"/>
      <c r="F447" s="802">
        <f>F446</f>
        <v>0</v>
      </c>
      <c r="G447" s="802">
        <f>G446</f>
        <v>0</v>
      </c>
      <c r="H447" s="831"/>
    </row>
    <row r="448" spans="1:8" ht="13.5" thickBot="1">
      <c r="A448" s="314"/>
      <c r="B448" s="331" t="s">
        <v>72</v>
      </c>
      <c r="C448" s="808">
        <f>SUM(C445+C435)</f>
        <v>19998</v>
      </c>
      <c r="D448" s="808">
        <f>SUM(D445+D435)</f>
        <v>20348</v>
      </c>
      <c r="E448" s="808">
        <f>SUM(E445+E435)</f>
        <v>20348</v>
      </c>
      <c r="F448" s="808">
        <f>SUM(F445+F435+F447)</f>
        <v>21474</v>
      </c>
      <c r="G448" s="808">
        <f>SUM(G445+G435+G447)</f>
        <v>24774</v>
      </c>
      <c r="H448" s="832">
        <f t="shared" si="9"/>
        <v>1.1536742106733724</v>
      </c>
    </row>
    <row r="449" spans="1:8" ht="13.5" thickBot="1">
      <c r="A449" s="314"/>
      <c r="B449" s="333" t="s">
        <v>73</v>
      </c>
      <c r="C449" s="795"/>
      <c r="D449" s="795"/>
      <c r="E449" s="795"/>
      <c r="F449" s="795"/>
      <c r="G449" s="795"/>
      <c r="H449" s="831"/>
    </row>
    <row r="450" spans="1:8" ht="12.75">
      <c r="A450" s="314"/>
      <c r="B450" s="785" t="s">
        <v>470</v>
      </c>
      <c r="C450" s="565"/>
      <c r="D450" s="565">
        <v>1365</v>
      </c>
      <c r="E450" s="565">
        <v>1365</v>
      </c>
      <c r="F450" s="565">
        <v>1365</v>
      </c>
      <c r="G450" s="565">
        <v>1365</v>
      </c>
      <c r="H450" s="321">
        <f t="shared" si="9"/>
        <v>1</v>
      </c>
    </row>
    <row r="451" spans="1:8" ht="12.75">
      <c r="A451" s="314"/>
      <c r="B451" s="335" t="s">
        <v>507</v>
      </c>
      <c r="C451" s="564">
        <v>560156</v>
      </c>
      <c r="D451" s="564">
        <v>563596</v>
      </c>
      <c r="E451" s="564">
        <v>563155</v>
      </c>
      <c r="F451" s="564">
        <f>563155+155+466</f>
        <v>563776</v>
      </c>
      <c r="G451" s="564">
        <v>563925</v>
      </c>
      <c r="H451" s="321">
        <f t="shared" si="9"/>
        <v>1.0002642893631513</v>
      </c>
    </row>
    <row r="452" spans="1:8" ht="13.5" thickBot="1">
      <c r="A452" s="314"/>
      <c r="B452" s="336" t="s">
        <v>510</v>
      </c>
      <c r="C452" s="801">
        <v>14100</v>
      </c>
      <c r="D452" s="801">
        <v>14100</v>
      </c>
      <c r="E452" s="801">
        <v>14100</v>
      </c>
      <c r="F452" s="801">
        <v>14100</v>
      </c>
      <c r="G452" s="801">
        <v>14100</v>
      </c>
      <c r="H452" s="736">
        <f t="shared" si="9"/>
        <v>1</v>
      </c>
    </row>
    <row r="453" spans="1:8" ht="13.5" thickBot="1">
      <c r="A453" s="314"/>
      <c r="B453" s="337" t="s">
        <v>66</v>
      </c>
      <c r="C453" s="813">
        <f>SUM(C450:C452)</f>
        <v>574256</v>
      </c>
      <c r="D453" s="813">
        <f>SUM(D450:D452)</f>
        <v>579061</v>
      </c>
      <c r="E453" s="813">
        <f>SUM(E450:E452)</f>
        <v>578620</v>
      </c>
      <c r="F453" s="813">
        <f>SUM(F450:F452)</f>
        <v>579241</v>
      </c>
      <c r="G453" s="813">
        <f>SUM(G450:G452)</f>
        <v>579390</v>
      </c>
      <c r="H453" s="832">
        <f t="shared" si="9"/>
        <v>1.0002572331723756</v>
      </c>
    </row>
    <row r="454" spans="1:8" ht="15.75" thickBot="1">
      <c r="A454" s="314"/>
      <c r="B454" s="339" t="s">
        <v>80</v>
      </c>
      <c r="C454" s="822">
        <f>SUM(C448+C449+C453)</f>
        <v>594254</v>
      </c>
      <c r="D454" s="822">
        <f>SUM(D448+D449+D453)</f>
        <v>599409</v>
      </c>
      <c r="E454" s="822">
        <f>SUM(E448+E449+E453)</f>
        <v>598968</v>
      </c>
      <c r="F454" s="822">
        <f>SUM(F448+F449+F453)</f>
        <v>600715</v>
      </c>
      <c r="G454" s="822">
        <f>SUM(G448+G449+G453)</f>
        <v>604164</v>
      </c>
      <c r="H454" s="1202">
        <f t="shared" si="9"/>
        <v>1.0057414913894276</v>
      </c>
    </row>
    <row r="455" spans="1:8" ht="12.75" customHeight="1">
      <c r="A455" s="314"/>
      <c r="B455" s="340" t="s">
        <v>344</v>
      </c>
      <c r="C455" s="564">
        <v>385539</v>
      </c>
      <c r="D455" s="564">
        <v>386824</v>
      </c>
      <c r="E455" s="564">
        <v>386461</v>
      </c>
      <c r="F455" s="564">
        <f>386461+130+390</f>
        <v>386981</v>
      </c>
      <c r="G455" s="564">
        <v>380087</v>
      </c>
      <c r="H455" s="321">
        <f t="shared" si="9"/>
        <v>0.9821851718818236</v>
      </c>
    </row>
    <row r="456" spans="1:8" ht="12.75">
      <c r="A456" s="314"/>
      <c r="B456" s="340" t="s">
        <v>345</v>
      </c>
      <c r="C456" s="564">
        <v>84472</v>
      </c>
      <c r="D456" s="564">
        <v>84735</v>
      </c>
      <c r="E456" s="564">
        <v>84657</v>
      </c>
      <c r="F456" s="564">
        <f>84657+25+76</f>
        <v>84758</v>
      </c>
      <c r="G456" s="564">
        <v>85801</v>
      </c>
      <c r="H456" s="321">
        <f t="shared" si="9"/>
        <v>1.012305623068029</v>
      </c>
    </row>
    <row r="457" spans="1:8" ht="12.75">
      <c r="A457" s="314"/>
      <c r="B457" s="340" t="s">
        <v>346</v>
      </c>
      <c r="C457" s="564">
        <v>117298</v>
      </c>
      <c r="D457" s="564">
        <v>120905</v>
      </c>
      <c r="E457" s="564">
        <v>120905</v>
      </c>
      <c r="F457" s="564">
        <f>120905+1126</f>
        <v>122031</v>
      </c>
      <c r="G457" s="564">
        <v>131331</v>
      </c>
      <c r="H457" s="321">
        <f t="shared" si="9"/>
        <v>1.0762101433242373</v>
      </c>
    </row>
    <row r="458" spans="1:8" ht="12.75">
      <c r="A458" s="314"/>
      <c r="B458" s="341" t="s">
        <v>348</v>
      </c>
      <c r="C458" s="564"/>
      <c r="D458" s="564"/>
      <c r="E458" s="564"/>
      <c r="F458" s="564"/>
      <c r="G458" s="564"/>
      <c r="H458" s="321"/>
    </row>
    <row r="459" spans="1:8" ht="13.5" thickBot="1">
      <c r="A459" s="314"/>
      <c r="B459" s="342" t="s">
        <v>347</v>
      </c>
      <c r="C459" s="564"/>
      <c r="D459" s="564"/>
      <c r="E459" s="564"/>
      <c r="F459" s="564"/>
      <c r="G459" s="564"/>
      <c r="H459" s="736"/>
    </row>
    <row r="460" spans="1:8" ht="13.5" thickBot="1">
      <c r="A460" s="314"/>
      <c r="B460" s="343" t="s">
        <v>65</v>
      </c>
      <c r="C460" s="802">
        <f>SUM(C455:C459)</f>
        <v>587309</v>
      </c>
      <c r="D460" s="802">
        <f>SUM(D455:D459)</f>
        <v>592464</v>
      </c>
      <c r="E460" s="802">
        <f>SUM(E455:E459)</f>
        <v>592023</v>
      </c>
      <c r="F460" s="802">
        <f>SUM(F455:F459)</f>
        <v>593770</v>
      </c>
      <c r="G460" s="802">
        <f>SUM(G455:G459)</f>
        <v>597219</v>
      </c>
      <c r="H460" s="832">
        <f aca="true" t="shared" si="15" ref="H460:H523">SUM(G460/F460)</f>
        <v>1.0058086464455933</v>
      </c>
    </row>
    <row r="461" spans="1:8" ht="12.75">
      <c r="A461" s="314"/>
      <c r="B461" s="340" t="s">
        <v>264</v>
      </c>
      <c r="C461" s="564">
        <v>6945</v>
      </c>
      <c r="D461" s="564">
        <v>6945</v>
      </c>
      <c r="E461" s="564">
        <v>6945</v>
      </c>
      <c r="F461" s="564">
        <v>6945</v>
      </c>
      <c r="G461" s="564">
        <v>6945</v>
      </c>
      <c r="H461" s="321">
        <f t="shared" si="15"/>
        <v>1</v>
      </c>
    </row>
    <row r="462" spans="1:8" ht="12.75">
      <c r="A462" s="314"/>
      <c r="B462" s="340" t="s">
        <v>265</v>
      </c>
      <c r="C462" s="564"/>
      <c r="D462" s="564"/>
      <c r="E462" s="564"/>
      <c r="F462" s="564"/>
      <c r="G462" s="564"/>
      <c r="H462" s="321"/>
    </row>
    <row r="463" spans="1:8" ht="13.5" thickBot="1">
      <c r="A463" s="314"/>
      <c r="B463" s="342" t="s">
        <v>479</v>
      </c>
      <c r="C463" s="564"/>
      <c r="D463" s="564"/>
      <c r="E463" s="564"/>
      <c r="F463" s="564"/>
      <c r="G463" s="564"/>
      <c r="H463" s="736"/>
    </row>
    <row r="464" spans="1:8" ht="13.5" thickBot="1">
      <c r="A464" s="314"/>
      <c r="B464" s="344" t="s">
        <v>71</v>
      </c>
      <c r="C464" s="802">
        <f>SUM(C461:C463)</f>
        <v>6945</v>
      </c>
      <c r="D464" s="802">
        <f>SUM(D461:D463)</f>
        <v>6945</v>
      </c>
      <c r="E464" s="802">
        <f>SUM(E461:E463)</f>
        <v>6945</v>
      </c>
      <c r="F464" s="802">
        <f>SUM(F461:F463)</f>
        <v>6945</v>
      </c>
      <c r="G464" s="802">
        <f>SUM(G461:G463)</f>
        <v>6945</v>
      </c>
      <c r="H464" s="832">
        <f t="shared" si="15"/>
        <v>1</v>
      </c>
    </row>
    <row r="465" spans="1:10" ht="15.75" thickBot="1">
      <c r="A465" s="311"/>
      <c r="B465" s="345" t="s">
        <v>117</v>
      </c>
      <c r="C465" s="800">
        <f>SUM(C460+C464)</f>
        <v>594254</v>
      </c>
      <c r="D465" s="800">
        <f>SUM(D460+D464)</f>
        <v>599409</v>
      </c>
      <c r="E465" s="800">
        <f>SUM(E460+E464)</f>
        <v>598968</v>
      </c>
      <c r="F465" s="800">
        <f>SUM(F460+F464)</f>
        <v>600715</v>
      </c>
      <c r="G465" s="800">
        <f>SUM(G460+G464)</f>
        <v>604164</v>
      </c>
      <c r="H465" s="1202">
        <f t="shared" si="15"/>
        <v>1.0057414913894276</v>
      </c>
      <c r="J465" s="829"/>
    </row>
    <row r="466" spans="1:8" ht="15">
      <c r="A466" s="226">
        <v>2875</v>
      </c>
      <c r="B466" s="229" t="s">
        <v>324</v>
      </c>
      <c r="C466" s="564"/>
      <c r="D466" s="564"/>
      <c r="E466" s="564"/>
      <c r="F466" s="564"/>
      <c r="G466" s="564"/>
      <c r="H466" s="321"/>
    </row>
    <row r="467" spans="1:8" ht="12" customHeight="1">
      <c r="A467" s="314"/>
      <c r="B467" s="316" t="s">
        <v>201</v>
      </c>
      <c r="C467" s="592"/>
      <c r="D467" s="592"/>
      <c r="E467" s="592"/>
      <c r="F467" s="592"/>
      <c r="G467" s="592"/>
      <c r="H467" s="321"/>
    </row>
    <row r="468" spans="1:8" ht="13.5" thickBot="1">
      <c r="A468" s="314"/>
      <c r="B468" s="317" t="s">
        <v>202</v>
      </c>
      <c r="C468" s="801"/>
      <c r="D468" s="801">
        <v>1000</v>
      </c>
      <c r="E468" s="801">
        <v>1000</v>
      </c>
      <c r="F468" s="801">
        <f>1000+8000</f>
        <v>9000</v>
      </c>
      <c r="G468" s="801">
        <v>9200</v>
      </c>
      <c r="H468" s="736">
        <f t="shared" si="15"/>
        <v>1.0222222222222221</v>
      </c>
    </row>
    <row r="469" spans="1:8" ht="13.5" thickBot="1">
      <c r="A469" s="314"/>
      <c r="B469" s="318" t="s">
        <v>215</v>
      </c>
      <c r="C469" s="816"/>
      <c r="D469" s="816">
        <f>SUM(D468)</f>
        <v>1000</v>
      </c>
      <c r="E469" s="816">
        <f>SUM(E468)</f>
        <v>1000</v>
      </c>
      <c r="F469" s="816">
        <f>SUM(F468)</f>
        <v>9000</v>
      </c>
      <c r="G469" s="816">
        <f>SUM(G468)</f>
        <v>9200</v>
      </c>
      <c r="H469" s="832">
        <f t="shared" si="15"/>
        <v>1.0222222222222221</v>
      </c>
    </row>
    <row r="470" spans="1:8" ht="12.75">
      <c r="A470" s="314"/>
      <c r="B470" s="316" t="s">
        <v>204</v>
      </c>
      <c r="C470" s="564">
        <v>493</v>
      </c>
      <c r="D470" s="564">
        <v>493</v>
      </c>
      <c r="E470" s="564">
        <v>493</v>
      </c>
      <c r="F470" s="564">
        <v>493</v>
      </c>
      <c r="G470" s="564">
        <v>370</v>
      </c>
      <c r="H470" s="321">
        <f t="shared" si="15"/>
        <v>0.7505070993914807</v>
      </c>
    </row>
    <row r="471" spans="1:8" ht="12.75">
      <c r="A471" s="314"/>
      <c r="B471" s="322" t="s">
        <v>205</v>
      </c>
      <c r="C471" s="805"/>
      <c r="D471" s="805"/>
      <c r="E471" s="805"/>
      <c r="F471" s="805"/>
      <c r="G471" s="805"/>
      <c r="H471" s="321"/>
    </row>
    <row r="472" spans="1:8" ht="12.75">
      <c r="A472" s="314"/>
      <c r="B472" s="322" t="s">
        <v>206</v>
      </c>
      <c r="C472" s="805">
        <v>493</v>
      </c>
      <c r="D472" s="805">
        <v>493</v>
      </c>
      <c r="E472" s="805">
        <v>493</v>
      </c>
      <c r="F472" s="805">
        <v>493</v>
      </c>
      <c r="G472" s="805">
        <v>370</v>
      </c>
      <c r="H472" s="321">
        <f t="shared" si="15"/>
        <v>0.7505070993914807</v>
      </c>
    </row>
    <row r="473" spans="1:8" ht="12.75">
      <c r="A473" s="314"/>
      <c r="B473" s="324" t="s">
        <v>207</v>
      </c>
      <c r="C473" s="564">
        <v>1051</v>
      </c>
      <c r="D473" s="564">
        <v>1051</v>
      </c>
      <c r="E473" s="564">
        <v>1051</v>
      </c>
      <c r="F473" s="564">
        <v>1051</v>
      </c>
      <c r="G473" s="564"/>
      <c r="H473" s="321">
        <f t="shared" si="15"/>
        <v>0</v>
      </c>
    </row>
    <row r="474" spans="1:8" ht="12.75">
      <c r="A474" s="314"/>
      <c r="B474" s="324" t="s">
        <v>208</v>
      </c>
      <c r="C474" s="564">
        <v>39404</v>
      </c>
      <c r="D474" s="564">
        <v>39404</v>
      </c>
      <c r="E474" s="564">
        <v>39404</v>
      </c>
      <c r="F474" s="564">
        <v>39404</v>
      </c>
      <c r="G474" s="564">
        <v>34425</v>
      </c>
      <c r="H474" s="321">
        <f t="shared" si="15"/>
        <v>0.8736422698203228</v>
      </c>
    </row>
    <row r="475" spans="1:8" ht="12.75">
      <c r="A475" s="314"/>
      <c r="B475" s="324" t="s">
        <v>209</v>
      </c>
      <c r="C475" s="564">
        <v>9570</v>
      </c>
      <c r="D475" s="564">
        <v>9570</v>
      </c>
      <c r="E475" s="564">
        <v>9570</v>
      </c>
      <c r="F475" s="564">
        <v>9570</v>
      </c>
      <c r="G475" s="564">
        <v>4673</v>
      </c>
      <c r="H475" s="321">
        <f t="shared" si="15"/>
        <v>0.48829676071055383</v>
      </c>
    </row>
    <row r="476" spans="1:8" ht="12.75">
      <c r="A476" s="314"/>
      <c r="B476" s="324" t="s">
        <v>370</v>
      </c>
      <c r="C476" s="564"/>
      <c r="D476" s="564"/>
      <c r="E476" s="564"/>
      <c r="F476" s="564"/>
      <c r="G476" s="564">
        <v>7313</v>
      </c>
      <c r="H476" s="321"/>
    </row>
    <row r="477" spans="1:8" ht="12.75">
      <c r="A477" s="314"/>
      <c r="B477" s="325" t="s">
        <v>500</v>
      </c>
      <c r="C477" s="564"/>
      <c r="D477" s="564"/>
      <c r="E477" s="564"/>
      <c r="F477" s="564"/>
      <c r="G477" s="564"/>
      <c r="H477" s="321"/>
    </row>
    <row r="478" spans="1:8" ht="13.5" thickBot="1">
      <c r="A478" s="314"/>
      <c r="B478" s="326" t="s">
        <v>210</v>
      </c>
      <c r="C478" s="564"/>
      <c r="D478" s="564"/>
      <c r="E478" s="564"/>
      <c r="F478" s="564"/>
      <c r="G478" s="564">
        <v>991</v>
      </c>
      <c r="H478" s="736"/>
    </row>
    <row r="479" spans="1:8" ht="13.5" thickBot="1">
      <c r="A479" s="314"/>
      <c r="B479" s="328" t="s">
        <v>366</v>
      </c>
      <c r="C479" s="802">
        <f>SUM(C470+C473+C474+C475+C478+C476)</f>
        <v>50518</v>
      </c>
      <c r="D479" s="802">
        <f>SUM(D470+D473+D474+D475+D478+D476)</f>
        <v>50518</v>
      </c>
      <c r="E479" s="802">
        <f>SUM(E470+E473+E474+E475+E478+E476)</f>
        <v>50518</v>
      </c>
      <c r="F479" s="802">
        <f>SUM(F470+F473+F474+F475+F478+F476)</f>
        <v>50518</v>
      </c>
      <c r="G479" s="802">
        <f>SUM(G470+G473+G474+G475+G478+G476)</f>
        <v>47772</v>
      </c>
      <c r="H479" s="832">
        <f t="shared" si="15"/>
        <v>0.9456431370996476</v>
      </c>
    </row>
    <row r="480" spans="1:8" ht="13.5" thickBot="1">
      <c r="A480" s="314"/>
      <c r="B480" s="147" t="s">
        <v>240</v>
      </c>
      <c r="C480" s="802"/>
      <c r="D480" s="802"/>
      <c r="E480" s="802"/>
      <c r="F480" s="1178">
        <v>384</v>
      </c>
      <c r="G480" s="1178">
        <v>384</v>
      </c>
      <c r="H480" s="831">
        <f t="shared" si="15"/>
        <v>1</v>
      </c>
    </row>
    <row r="481" spans="1:8" ht="13.5" thickBot="1">
      <c r="A481" s="314"/>
      <c r="B481" s="587" t="s">
        <v>241</v>
      </c>
      <c r="C481" s="802"/>
      <c r="D481" s="802"/>
      <c r="E481" s="802"/>
      <c r="F481" s="802">
        <f>F480</f>
        <v>384</v>
      </c>
      <c r="G481" s="802">
        <f>G480</f>
        <v>384</v>
      </c>
      <c r="H481" s="832">
        <f t="shared" si="15"/>
        <v>1</v>
      </c>
    </row>
    <row r="482" spans="1:8" ht="13.5" thickBot="1">
      <c r="A482" s="314"/>
      <c r="B482" s="331" t="s">
        <v>72</v>
      </c>
      <c r="C482" s="808">
        <f>SUM(C479+C469)</f>
        <v>50518</v>
      </c>
      <c r="D482" s="808">
        <f>SUM(D479+D469)</f>
        <v>51518</v>
      </c>
      <c r="E482" s="808">
        <f>SUM(E479+E469)</f>
        <v>51518</v>
      </c>
      <c r="F482" s="808">
        <f>SUM(F479+F469+F481)</f>
        <v>59902</v>
      </c>
      <c r="G482" s="808">
        <f>SUM(G479+G469+G481)</f>
        <v>57356</v>
      </c>
      <c r="H482" s="832">
        <f t="shared" si="15"/>
        <v>0.9574972455009849</v>
      </c>
    </row>
    <row r="483" spans="1:8" ht="13.5" thickBot="1">
      <c r="A483" s="314"/>
      <c r="B483" s="333" t="s">
        <v>73</v>
      </c>
      <c r="C483" s="795"/>
      <c r="D483" s="795"/>
      <c r="E483" s="795"/>
      <c r="F483" s="795"/>
      <c r="G483" s="795"/>
      <c r="H483" s="831"/>
    </row>
    <row r="484" spans="1:8" ht="12.75">
      <c r="A484" s="314"/>
      <c r="B484" s="785" t="s">
        <v>470</v>
      </c>
      <c r="C484" s="565"/>
      <c r="D484" s="565">
        <v>5649</v>
      </c>
      <c r="E484" s="565">
        <v>5649</v>
      </c>
      <c r="F484" s="565">
        <v>5649</v>
      </c>
      <c r="G484" s="565">
        <v>5649</v>
      </c>
      <c r="H484" s="321">
        <f t="shared" si="15"/>
        <v>1</v>
      </c>
    </row>
    <row r="485" spans="1:8" ht="13.5" thickBot="1">
      <c r="A485" s="314"/>
      <c r="B485" s="336" t="s">
        <v>507</v>
      </c>
      <c r="C485" s="801">
        <v>717487</v>
      </c>
      <c r="D485" s="801">
        <v>753834</v>
      </c>
      <c r="E485" s="801">
        <v>762538</v>
      </c>
      <c r="F485" s="801">
        <f>762538+1625+398+846</f>
        <v>765407</v>
      </c>
      <c r="G485" s="801">
        <v>765807</v>
      </c>
      <c r="H485" s="736">
        <f t="shared" si="15"/>
        <v>1.000522597781311</v>
      </c>
    </row>
    <row r="486" spans="1:8" ht="13.5" thickBot="1">
      <c r="A486" s="314"/>
      <c r="B486" s="337" t="s">
        <v>66</v>
      </c>
      <c r="C486" s="799">
        <f>SUM(C484:C485)</f>
        <v>717487</v>
      </c>
      <c r="D486" s="799">
        <f>SUM(D484:D485)</f>
        <v>759483</v>
      </c>
      <c r="E486" s="799">
        <f>SUM(E484:E485)</f>
        <v>768187</v>
      </c>
      <c r="F486" s="799">
        <f>SUM(F484:F485)</f>
        <v>771056</v>
      </c>
      <c r="G486" s="799">
        <f>SUM(G484:G485)</f>
        <v>771456</v>
      </c>
      <c r="H486" s="832">
        <f t="shared" si="15"/>
        <v>1.0005187690647632</v>
      </c>
    </row>
    <row r="487" spans="1:8" ht="13.5" thickBot="1">
      <c r="A487" s="314"/>
      <c r="B487" s="249" t="s">
        <v>470</v>
      </c>
      <c r="C487" s="799"/>
      <c r="D487" s="795">
        <v>524</v>
      </c>
      <c r="E487" s="795">
        <v>524</v>
      </c>
      <c r="F487" s="795">
        <v>524</v>
      </c>
      <c r="G487" s="795">
        <v>524</v>
      </c>
      <c r="H487" s="831">
        <f t="shared" si="15"/>
        <v>1</v>
      </c>
    </row>
    <row r="488" spans="1:8" ht="13.5" thickBot="1">
      <c r="A488" s="314"/>
      <c r="B488" s="337" t="s">
        <v>68</v>
      </c>
      <c r="C488" s="799"/>
      <c r="D488" s="799">
        <f>SUM(D487)</f>
        <v>524</v>
      </c>
      <c r="E488" s="799">
        <f>SUM(E487)</f>
        <v>524</v>
      </c>
      <c r="F488" s="799">
        <f>SUM(F487)</f>
        <v>524</v>
      </c>
      <c r="G488" s="799">
        <f>SUM(G487)</f>
        <v>524</v>
      </c>
      <c r="H488" s="832">
        <f t="shared" si="15"/>
        <v>1</v>
      </c>
    </row>
    <row r="489" spans="1:8" ht="15.75" thickBot="1">
      <c r="A489" s="314"/>
      <c r="B489" s="339" t="s">
        <v>80</v>
      </c>
      <c r="C489" s="800">
        <f>SUM(C482+C483+C486)</f>
        <v>768005</v>
      </c>
      <c r="D489" s="800">
        <f>SUM(D482+D483+D486+D488)</f>
        <v>811525</v>
      </c>
      <c r="E489" s="800">
        <f>SUM(E482+E483+E486+E488)</f>
        <v>820229</v>
      </c>
      <c r="F489" s="800">
        <f>SUM(F482+F483+F486+F488)</f>
        <v>831482</v>
      </c>
      <c r="G489" s="800">
        <f>SUM(G482+G483+G486+G488)</f>
        <v>829336</v>
      </c>
      <c r="H489" s="1202">
        <f t="shared" si="15"/>
        <v>0.9974190661974642</v>
      </c>
    </row>
    <row r="490" spans="1:8" ht="12.75">
      <c r="A490" s="314"/>
      <c r="B490" s="340" t="s">
        <v>344</v>
      </c>
      <c r="C490" s="564">
        <v>457712</v>
      </c>
      <c r="D490" s="564">
        <v>477435</v>
      </c>
      <c r="E490" s="564">
        <v>480671</v>
      </c>
      <c r="F490" s="564">
        <f>480671+1360+333+708</f>
        <v>483072</v>
      </c>
      <c r="G490" s="564">
        <v>483407</v>
      </c>
      <c r="H490" s="321">
        <f t="shared" si="15"/>
        <v>1.0006934784048755</v>
      </c>
    </row>
    <row r="491" spans="1:8" ht="12.75">
      <c r="A491" s="314"/>
      <c r="B491" s="340" t="s">
        <v>345</v>
      </c>
      <c r="C491" s="564">
        <v>100871</v>
      </c>
      <c r="D491" s="564">
        <v>104858</v>
      </c>
      <c r="E491" s="564">
        <v>105489</v>
      </c>
      <c r="F491" s="564">
        <f>105489+265+65+138</f>
        <v>105957</v>
      </c>
      <c r="G491" s="564">
        <v>106022</v>
      </c>
      <c r="H491" s="321">
        <f t="shared" si="15"/>
        <v>1.0006134564021254</v>
      </c>
    </row>
    <row r="492" spans="1:8" ht="12.75">
      <c r="A492" s="314"/>
      <c r="B492" s="340" t="s">
        <v>346</v>
      </c>
      <c r="C492" s="564">
        <v>201243</v>
      </c>
      <c r="D492" s="564">
        <v>216370</v>
      </c>
      <c r="E492" s="564">
        <v>216723</v>
      </c>
      <c r="F492" s="564">
        <f>216723+8000+384</f>
        <v>225107</v>
      </c>
      <c r="G492" s="564">
        <v>222461</v>
      </c>
      <c r="H492" s="321">
        <f t="shared" si="15"/>
        <v>0.9882455898750372</v>
      </c>
    </row>
    <row r="493" spans="1:8" ht="12.75">
      <c r="A493" s="314"/>
      <c r="B493" s="341" t="s">
        <v>348</v>
      </c>
      <c r="C493" s="564">
        <v>600</v>
      </c>
      <c r="D493" s="564">
        <v>600</v>
      </c>
      <c r="E493" s="564">
        <v>600</v>
      </c>
      <c r="F493" s="564">
        <v>600</v>
      </c>
      <c r="G493" s="564">
        <v>600</v>
      </c>
      <c r="H493" s="321">
        <f t="shared" si="15"/>
        <v>1</v>
      </c>
    </row>
    <row r="494" spans="1:8" ht="13.5" thickBot="1">
      <c r="A494" s="314"/>
      <c r="B494" s="342" t="s">
        <v>347</v>
      </c>
      <c r="C494" s="564"/>
      <c r="D494" s="564"/>
      <c r="E494" s="564"/>
      <c r="F494" s="564"/>
      <c r="G494" s="564"/>
      <c r="H494" s="736"/>
    </row>
    <row r="495" spans="1:8" ht="13.5" thickBot="1">
      <c r="A495" s="314"/>
      <c r="B495" s="343" t="s">
        <v>65</v>
      </c>
      <c r="C495" s="802">
        <f>SUM(C490:C494)</f>
        <v>760426</v>
      </c>
      <c r="D495" s="802">
        <f>SUM(D490:D494)</f>
        <v>799263</v>
      </c>
      <c r="E495" s="802">
        <f>SUM(E490:E494)</f>
        <v>803483</v>
      </c>
      <c r="F495" s="802">
        <f>SUM(F490:F494)</f>
        <v>814736</v>
      </c>
      <c r="G495" s="802">
        <f>SUM(G490:G494)</f>
        <v>812490</v>
      </c>
      <c r="H495" s="832">
        <f t="shared" si="15"/>
        <v>0.9972432788044225</v>
      </c>
    </row>
    <row r="496" spans="1:8" ht="12.75">
      <c r="A496" s="314"/>
      <c r="B496" s="340" t="s">
        <v>264</v>
      </c>
      <c r="C496" s="564">
        <v>7579</v>
      </c>
      <c r="D496" s="564">
        <v>12262</v>
      </c>
      <c r="E496" s="564">
        <v>16746</v>
      </c>
      <c r="F496" s="564">
        <v>16746</v>
      </c>
      <c r="G496" s="564">
        <v>16846</v>
      </c>
      <c r="H496" s="321">
        <f t="shared" si="15"/>
        <v>1.0059715753015646</v>
      </c>
    </row>
    <row r="497" spans="1:8" ht="12.75">
      <c r="A497" s="314"/>
      <c r="B497" s="340" t="s">
        <v>265</v>
      </c>
      <c r="C497" s="564"/>
      <c r="D497" s="564"/>
      <c r="E497" s="564"/>
      <c r="F497" s="564"/>
      <c r="G497" s="564"/>
      <c r="H497" s="321"/>
    </row>
    <row r="498" spans="1:8" ht="13.5" thickBot="1">
      <c r="A498" s="314"/>
      <c r="B498" s="342" t="s">
        <v>479</v>
      </c>
      <c r="C498" s="564"/>
      <c r="D498" s="564"/>
      <c r="E498" s="564"/>
      <c r="F498" s="564"/>
      <c r="G498" s="564"/>
      <c r="H498" s="736"/>
    </row>
    <row r="499" spans="1:8" ht="13.5" thickBot="1">
      <c r="A499" s="314"/>
      <c r="B499" s="344" t="s">
        <v>71</v>
      </c>
      <c r="C499" s="802">
        <f>SUM(C496:C498)</f>
        <v>7579</v>
      </c>
      <c r="D499" s="802">
        <f>SUM(D496:D498)</f>
        <v>12262</v>
      </c>
      <c r="E499" s="802">
        <f>SUM(E496:E498)</f>
        <v>16746</v>
      </c>
      <c r="F499" s="802">
        <f>SUM(F496:F498)</f>
        <v>16746</v>
      </c>
      <c r="G499" s="802">
        <f>SUM(G496:G498)</f>
        <v>16846</v>
      </c>
      <c r="H499" s="832">
        <f t="shared" si="15"/>
        <v>1.0059715753015646</v>
      </c>
    </row>
    <row r="500" spans="1:10" ht="15.75" thickBot="1">
      <c r="A500" s="311"/>
      <c r="B500" s="345" t="s">
        <v>117</v>
      </c>
      <c r="C500" s="800">
        <f>SUM(C495+C499)</f>
        <v>768005</v>
      </c>
      <c r="D500" s="800">
        <f>SUM(D495+D499)</f>
        <v>811525</v>
      </c>
      <c r="E500" s="800">
        <f>SUM(E495+E499)</f>
        <v>820229</v>
      </c>
      <c r="F500" s="800">
        <f>SUM(F495+F499)</f>
        <v>831482</v>
      </c>
      <c r="G500" s="800">
        <f>SUM(G495+G499)</f>
        <v>829336</v>
      </c>
      <c r="H500" s="1202">
        <f t="shared" si="15"/>
        <v>0.9974190661974642</v>
      </c>
      <c r="J500" s="829"/>
    </row>
    <row r="501" spans="1:8" ht="15">
      <c r="A501" s="226">
        <v>2898</v>
      </c>
      <c r="B501" s="347" t="s">
        <v>359</v>
      </c>
      <c r="C501" s="809"/>
      <c r="D501" s="809"/>
      <c r="E501" s="809"/>
      <c r="F501" s="809"/>
      <c r="G501" s="809"/>
      <c r="H501" s="321"/>
    </row>
    <row r="502" spans="1:8" ht="12.75">
      <c r="A502" s="314"/>
      <c r="B502" s="316" t="s">
        <v>201</v>
      </c>
      <c r="C502" s="592"/>
      <c r="D502" s="592"/>
      <c r="E502" s="592"/>
      <c r="F502" s="592"/>
      <c r="G502" s="592"/>
      <c r="H502" s="321"/>
    </row>
    <row r="503" spans="1:8" ht="13.5" thickBot="1">
      <c r="A503" s="314"/>
      <c r="B503" s="317" t="s">
        <v>202</v>
      </c>
      <c r="C503" s="801">
        <f>SUM(C468+C434)</f>
        <v>0</v>
      </c>
      <c r="D503" s="801">
        <f>SUM(D468+D434)</f>
        <v>1350</v>
      </c>
      <c r="E503" s="801">
        <f>SUM(E468+E434)</f>
        <v>1350</v>
      </c>
      <c r="F503" s="801">
        <f>SUM(F468+F434)</f>
        <v>9350</v>
      </c>
      <c r="G503" s="801">
        <f>SUM(G468+G434)</f>
        <v>10405</v>
      </c>
      <c r="H503" s="736">
        <f t="shared" si="15"/>
        <v>1.1128342245989304</v>
      </c>
    </row>
    <row r="504" spans="1:8" ht="13.5" thickBot="1">
      <c r="A504" s="314"/>
      <c r="B504" s="318" t="s">
        <v>215</v>
      </c>
      <c r="C504" s="816">
        <f>SUM(C503)</f>
        <v>0</v>
      </c>
      <c r="D504" s="816">
        <f>SUM(D503)</f>
        <v>1350</v>
      </c>
      <c r="E504" s="816">
        <f>SUM(E503)</f>
        <v>1350</v>
      </c>
      <c r="F504" s="816">
        <f>SUM(F503)</f>
        <v>9350</v>
      </c>
      <c r="G504" s="816">
        <f>SUM(G503)</f>
        <v>10405</v>
      </c>
      <c r="H504" s="832">
        <f t="shared" si="15"/>
        <v>1.1128342245989304</v>
      </c>
    </row>
    <row r="505" spans="1:8" ht="12.75">
      <c r="A505" s="314"/>
      <c r="B505" s="316" t="s">
        <v>204</v>
      </c>
      <c r="C505" s="564">
        <f aca="true" t="shared" si="16" ref="C505:F510">SUM(C470+C436)</f>
        <v>1438</v>
      </c>
      <c r="D505" s="564">
        <f t="shared" si="16"/>
        <v>1438</v>
      </c>
      <c r="E505" s="564">
        <f t="shared" si="16"/>
        <v>1438</v>
      </c>
      <c r="F505" s="564">
        <f t="shared" si="16"/>
        <v>1002</v>
      </c>
      <c r="G505" s="564">
        <f aca="true" t="shared" si="17" ref="G505:G510">SUM(G470+G436)</f>
        <v>879</v>
      </c>
      <c r="H505" s="321">
        <f t="shared" si="15"/>
        <v>0.8772455089820359</v>
      </c>
    </row>
    <row r="506" spans="1:8" ht="12.75">
      <c r="A506" s="314"/>
      <c r="B506" s="322" t="s">
        <v>205</v>
      </c>
      <c r="C506" s="805">
        <f t="shared" si="16"/>
        <v>945</v>
      </c>
      <c r="D506" s="805">
        <f t="shared" si="16"/>
        <v>945</v>
      </c>
      <c r="E506" s="805">
        <f t="shared" si="16"/>
        <v>945</v>
      </c>
      <c r="F506" s="805">
        <f t="shared" si="16"/>
        <v>509</v>
      </c>
      <c r="G506" s="805">
        <f t="shared" si="17"/>
        <v>509</v>
      </c>
      <c r="H506" s="321">
        <f t="shared" si="15"/>
        <v>1</v>
      </c>
    </row>
    <row r="507" spans="1:8" ht="12.75">
      <c r="A507" s="314"/>
      <c r="B507" s="322" t="s">
        <v>206</v>
      </c>
      <c r="C507" s="805">
        <f t="shared" si="16"/>
        <v>493</v>
      </c>
      <c r="D507" s="805">
        <f t="shared" si="16"/>
        <v>493</v>
      </c>
      <c r="E507" s="805">
        <f t="shared" si="16"/>
        <v>493</v>
      </c>
      <c r="F507" s="805">
        <f t="shared" si="16"/>
        <v>493</v>
      </c>
      <c r="G507" s="805">
        <f t="shared" si="17"/>
        <v>370</v>
      </c>
      <c r="H507" s="321">
        <f t="shared" si="15"/>
        <v>0.7505070993914807</v>
      </c>
    </row>
    <row r="508" spans="1:8" ht="12.75">
      <c r="A508" s="314"/>
      <c r="B508" s="324" t="s">
        <v>207</v>
      </c>
      <c r="C508" s="564">
        <f t="shared" si="16"/>
        <v>4901</v>
      </c>
      <c r="D508" s="564">
        <f t="shared" si="16"/>
        <v>4901</v>
      </c>
      <c r="E508" s="564">
        <f t="shared" si="16"/>
        <v>4901</v>
      </c>
      <c r="F508" s="564">
        <f t="shared" si="16"/>
        <v>3901</v>
      </c>
      <c r="G508" s="564">
        <f t="shared" si="17"/>
        <v>2397</v>
      </c>
      <c r="H508" s="321">
        <f t="shared" si="15"/>
        <v>0.6144578313253012</v>
      </c>
    </row>
    <row r="509" spans="1:8" ht="12.75">
      <c r="A509" s="314"/>
      <c r="B509" s="324" t="s">
        <v>208</v>
      </c>
      <c r="C509" s="564">
        <f t="shared" si="16"/>
        <v>51383</v>
      </c>
      <c r="D509" s="564">
        <f t="shared" si="16"/>
        <v>51383</v>
      </c>
      <c r="E509" s="564">
        <f t="shared" si="16"/>
        <v>51383</v>
      </c>
      <c r="F509" s="564">
        <f t="shared" si="16"/>
        <v>53945</v>
      </c>
      <c r="G509" s="564">
        <f t="shared" si="17"/>
        <v>51147</v>
      </c>
      <c r="H509" s="321">
        <f t="shared" si="15"/>
        <v>0.9481323570303086</v>
      </c>
    </row>
    <row r="510" spans="1:8" ht="12.75">
      <c r="A510" s="314"/>
      <c r="B510" s="324" t="s">
        <v>209</v>
      </c>
      <c r="C510" s="564">
        <f t="shared" si="16"/>
        <v>12794</v>
      </c>
      <c r="D510" s="564">
        <f t="shared" si="16"/>
        <v>12794</v>
      </c>
      <c r="E510" s="564">
        <f t="shared" si="16"/>
        <v>12794</v>
      </c>
      <c r="F510" s="564">
        <f t="shared" si="16"/>
        <v>12794</v>
      </c>
      <c r="G510" s="564">
        <f t="shared" si="17"/>
        <v>8614</v>
      </c>
      <c r="H510" s="321">
        <f t="shared" si="15"/>
        <v>0.6732843520400188</v>
      </c>
    </row>
    <row r="511" spans="1:8" ht="12.75">
      <c r="A511" s="314"/>
      <c r="B511" s="324" t="s">
        <v>370</v>
      </c>
      <c r="C511" s="564">
        <f>SUM(C442+C476)</f>
        <v>0</v>
      </c>
      <c r="D511" s="564">
        <f>SUM(D442+D476)</f>
        <v>0</v>
      </c>
      <c r="E511" s="564">
        <f>SUM(E442+E476)</f>
        <v>0</v>
      </c>
      <c r="F511" s="564">
        <f>SUM(F442+F476)</f>
        <v>0</v>
      </c>
      <c r="G511" s="564">
        <f>SUM(G442+G476)</f>
        <v>7313</v>
      </c>
      <c r="H511" s="321"/>
    </row>
    <row r="512" spans="1:8" ht="12.75">
      <c r="A512" s="314"/>
      <c r="B512" s="325" t="s">
        <v>500</v>
      </c>
      <c r="C512" s="564">
        <f aca="true" t="shared" si="18" ref="C512:F513">SUM(C477+C443)</f>
        <v>0</v>
      </c>
      <c r="D512" s="564">
        <f t="shared" si="18"/>
        <v>0</v>
      </c>
      <c r="E512" s="564">
        <f t="shared" si="18"/>
        <v>0</v>
      </c>
      <c r="F512" s="564">
        <f t="shared" si="18"/>
        <v>0</v>
      </c>
      <c r="G512" s="564">
        <f>SUM(G477+G443)</f>
        <v>0</v>
      </c>
      <c r="H512" s="321"/>
    </row>
    <row r="513" spans="1:8" ht="13.5" thickBot="1">
      <c r="A513" s="314"/>
      <c r="B513" s="326" t="s">
        <v>210</v>
      </c>
      <c r="C513" s="564">
        <f t="shared" si="18"/>
        <v>0</v>
      </c>
      <c r="D513" s="564">
        <f t="shared" si="18"/>
        <v>0</v>
      </c>
      <c r="E513" s="564">
        <f t="shared" si="18"/>
        <v>0</v>
      </c>
      <c r="F513" s="564">
        <f t="shared" si="18"/>
        <v>0</v>
      </c>
      <c r="G513" s="564">
        <f>SUM(G478+G444)</f>
        <v>991</v>
      </c>
      <c r="H513" s="736"/>
    </row>
    <row r="514" spans="1:8" ht="13.5" thickBot="1">
      <c r="A514" s="314"/>
      <c r="B514" s="328" t="s">
        <v>366</v>
      </c>
      <c r="C514" s="802">
        <f>SUM(C505+C508+C509+C510+C513+C511)</f>
        <v>70516</v>
      </c>
      <c r="D514" s="802">
        <f>SUM(D505+D508+D509+D510+D513+D511)</f>
        <v>70516</v>
      </c>
      <c r="E514" s="802">
        <f>SUM(E505+E508+E509+E510+E513+E511)</f>
        <v>70516</v>
      </c>
      <c r="F514" s="802">
        <f>SUM(F505+F508+F509+F510+F513+F511)</f>
        <v>71642</v>
      </c>
      <c r="G514" s="802">
        <f>SUM(G505+G508+G509+G510+G513+G511)</f>
        <v>71341</v>
      </c>
      <c r="H514" s="832">
        <f t="shared" si="15"/>
        <v>0.9957985539208843</v>
      </c>
    </row>
    <row r="515" spans="1:8" ht="13.5" thickBot="1">
      <c r="A515" s="314"/>
      <c r="B515" s="147" t="s">
        <v>240</v>
      </c>
      <c r="C515" s="802"/>
      <c r="D515" s="802"/>
      <c r="E515" s="802"/>
      <c r="F515" s="1178">
        <f>F446+F480</f>
        <v>384</v>
      </c>
      <c r="G515" s="1178">
        <f>G446+G480</f>
        <v>384</v>
      </c>
      <c r="H515" s="831">
        <f t="shared" si="15"/>
        <v>1</v>
      </c>
    </row>
    <row r="516" spans="1:8" ht="13.5" thickBot="1">
      <c r="A516" s="314"/>
      <c r="B516" s="587" t="s">
        <v>241</v>
      </c>
      <c r="C516" s="802"/>
      <c r="D516" s="802"/>
      <c r="E516" s="802"/>
      <c r="F516" s="802">
        <f>F515</f>
        <v>384</v>
      </c>
      <c r="G516" s="802">
        <f>G515</f>
        <v>384</v>
      </c>
      <c r="H516" s="832">
        <f t="shared" si="15"/>
        <v>1</v>
      </c>
    </row>
    <row r="517" spans="1:8" ht="13.5" thickBot="1">
      <c r="A517" s="314"/>
      <c r="B517" s="331" t="s">
        <v>72</v>
      </c>
      <c r="C517" s="808">
        <f>SUM(C514+C504)</f>
        <v>70516</v>
      </c>
      <c r="D517" s="808">
        <f>SUM(D514+D504)</f>
        <v>71866</v>
      </c>
      <c r="E517" s="808">
        <f>SUM(E514+E504)</f>
        <v>71866</v>
      </c>
      <c r="F517" s="808">
        <f>SUM(F514+F504+F516)</f>
        <v>81376</v>
      </c>
      <c r="G517" s="808">
        <f>SUM(G514+G504+G516)</f>
        <v>82130</v>
      </c>
      <c r="H517" s="832">
        <f t="shared" si="15"/>
        <v>1.0092656311443178</v>
      </c>
    </row>
    <row r="518" spans="1:8" ht="13.5" thickBot="1">
      <c r="A518" s="314"/>
      <c r="B518" s="333" t="s">
        <v>73</v>
      </c>
      <c r="C518" s="812"/>
      <c r="D518" s="812"/>
      <c r="E518" s="812"/>
      <c r="F518" s="812"/>
      <c r="G518" s="812"/>
      <c r="H518" s="831"/>
    </row>
    <row r="519" spans="1:8" ht="12.75">
      <c r="A519" s="314"/>
      <c r="B519" s="785" t="s">
        <v>470</v>
      </c>
      <c r="C519" s="565">
        <f aca="true" t="shared" si="19" ref="C519:F520">SUM(C484+C450)</f>
        <v>0</v>
      </c>
      <c r="D519" s="565">
        <f t="shared" si="19"/>
        <v>7014</v>
      </c>
      <c r="E519" s="565">
        <f t="shared" si="19"/>
        <v>7014</v>
      </c>
      <c r="F519" s="565">
        <f t="shared" si="19"/>
        <v>7014</v>
      </c>
      <c r="G519" s="565">
        <f>SUM(G484+G450)</f>
        <v>7014</v>
      </c>
      <c r="H519" s="321">
        <f t="shared" si="15"/>
        <v>1</v>
      </c>
    </row>
    <row r="520" spans="1:8" ht="12.75">
      <c r="A520" s="314"/>
      <c r="B520" s="335" t="s">
        <v>507</v>
      </c>
      <c r="C520" s="564">
        <f t="shared" si="19"/>
        <v>1277643</v>
      </c>
      <c r="D520" s="564">
        <f t="shared" si="19"/>
        <v>1317430</v>
      </c>
      <c r="E520" s="564">
        <f t="shared" si="19"/>
        <v>1325693</v>
      </c>
      <c r="F520" s="564">
        <f t="shared" si="19"/>
        <v>1329183</v>
      </c>
      <c r="G520" s="564">
        <f>SUM(G485+G451)</f>
        <v>1329732</v>
      </c>
      <c r="H520" s="321">
        <f t="shared" si="15"/>
        <v>1.000413035676803</v>
      </c>
    </row>
    <row r="521" spans="1:8" ht="13.5" thickBot="1">
      <c r="A521" s="314"/>
      <c r="B521" s="336" t="s">
        <v>510</v>
      </c>
      <c r="C521" s="801">
        <f>SUM(C452)</f>
        <v>14100</v>
      </c>
      <c r="D521" s="801">
        <f>SUM(D452)</f>
        <v>14100</v>
      </c>
      <c r="E521" s="801">
        <f>SUM(E452)</f>
        <v>14100</v>
      </c>
      <c r="F521" s="801">
        <f>SUM(F452)</f>
        <v>14100</v>
      </c>
      <c r="G521" s="801">
        <f>SUM(G452)</f>
        <v>14100</v>
      </c>
      <c r="H521" s="736">
        <f t="shared" si="15"/>
        <v>1</v>
      </c>
    </row>
    <row r="522" spans="1:8" ht="13.5" thickBot="1">
      <c r="A522" s="314"/>
      <c r="B522" s="337" t="s">
        <v>66</v>
      </c>
      <c r="C522" s="799">
        <f>SUM(C519:C521)</f>
        <v>1291743</v>
      </c>
      <c r="D522" s="799">
        <f>SUM(D519:D521)</f>
        <v>1338544</v>
      </c>
      <c r="E522" s="799">
        <f>SUM(E519:E521)</f>
        <v>1346807</v>
      </c>
      <c r="F522" s="799">
        <f>SUM(F519:F521)</f>
        <v>1350297</v>
      </c>
      <c r="G522" s="799">
        <f>SUM(G519:G521)</f>
        <v>1350846</v>
      </c>
      <c r="H522" s="832">
        <f t="shared" si="15"/>
        <v>1.0004065772196784</v>
      </c>
    </row>
    <row r="523" spans="1:8" ht="13.5" thickBot="1">
      <c r="A523" s="314"/>
      <c r="B523" s="249" t="s">
        <v>470</v>
      </c>
      <c r="C523" s="799"/>
      <c r="D523" s="1143">
        <f>SUM(D487)</f>
        <v>524</v>
      </c>
      <c r="E523" s="1143">
        <f>SUM(E487)</f>
        <v>524</v>
      </c>
      <c r="F523" s="1143">
        <f>SUM(F487)</f>
        <v>524</v>
      </c>
      <c r="G523" s="1143">
        <f>SUM(G487)</f>
        <v>524</v>
      </c>
      <c r="H523" s="831">
        <f t="shared" si="15"/>
        <v>1</v>
      </c>
    </row>
    <row r="524" spans="1:8" ht="13.5" thickBot="1">
      <c r="A524" s="314"/>
      <c r="B524" s="337" t="s">
        <v>68</v>
      </c>
      <c r="C524" s="799"/>
      <c r="D524" s="799">
        <f>SUM(D523)</f>
        <v>524</v>
      </c>
      <c r="E524" s="799">
        <f>SUM(E523)</f>
        <v>524</v>
      </c>
      <c r="F524" s="799">
        <f>SUM(F523)</f>
        <v>524</v>
      </c>
      <c r="G524" s="799">
        <f>SUM(G523)</f>
        <v>524</v>
      </c>
      <c r="H524" s="832">
        <f aca="true" t="shared" si="20" ref="H524:H587">SUM(G524/F524)</f>
        <v>1</v>
      </c>
    </row>
    <row r="525" spans="1:8" ht="15.75" thickBot="1">
      <c r="A525" s="314"/>
      <c r="B525" s="339" t="s">
        <v>80</v>
      </c>
      <c r="C525" s="800">
        <f>SUM(C517+C518+C522)</f>
        <v>1362259</v>
      </c>
      <c r="D525" s="800">
        <f>SUM(D517+D518+D522+D524)</f>
        <v>1410934</v>
      </c>
      <c r="E525" s="800">
        <f>SUM(E517+E518+E522+E524)</f>
        <v>1419197</v>
      </c>
      <c r="F525" s="800">
        <f>SUM(F517+F518+F522+F524)</f>
        <v>1432197</v>
      </c>
      <c r="G525" s="800">
        <f>SUM(G517+G518+G522+G524)</f>
        <v>1433500</v>
      </c>
      <c r="H525" s="1202">
        <f t="shared" si="20"/>
        <v>1.0009097910413163</v>
      </c>
    </row>
    <row r="526" spans="1:8" ht="12.75">
      <c r="A526" s="314"/>
      <c r="B526" s="340" t="s">
        <v>344</v>
      </c>
      <c r="C526" s="564">
        <f aca="true" t="shared" si="21" ref="C526:F530">SUM(C490+C455)</f>
        <v>843251</v>
      </c>
      <c r="D526" s="564">
        <f t="shared" si="21"/>
        <v>864259</v>
      </c>
      <c r="E526" s="564">
        <f t="shared" si="21"/>
        <v>867132</v>
      </c>
      <c r="F526" s="564">
        <f t="shared" si="21"/>
        <v>870053</v>
      </c>
      <c r="G526" s="564">
        <f>SUM(G490+G455)</f>
        <v>863494</v>
      </c>
      <c r="H526" s="321">
        <f t="shared" si="20"/>
        <v>0.992461378789568</v>
      </c>
    </row>
    <row r="527" spans="1:8" ht="12.75">
      <c r="A527" s="314"/>
      <c r="B527" s="340" t="s">
        <v>345</v>
      </c>
      <c r="C527" s="564">
        <f t="shared" si="21"/>
        <v>185343</v>
      </c>
      <c r="D527" s="564">
        <f t="shared" si="21"/>
        <v>189593</v>
      </c>
      <c r="E527" s="564">
        <f t="shared" si="21"/>
        <v>190146</v>
      </c>
      <c r="F527" s="564">
        <f t="shared" si="21"/>
        <v>190715</v>
      </c>
      <c r="G527" s="564">
        <f>SUM(G491+G456)</f>
        <v>191823</v>
      </c>
      <c r="H527" s="321">
        <f t="shared" si="20"/>
        <v>1.0058097160684791</v>
      </c>
    </row>
    <row r="528" spans="1:8" ht="12.75">
      <c r="A528" s="314"/>
      <c r="B528" s="340" t="s">
        <v>346</v>
      </c>
      <c r="C528" s="564">
        <f t="shared" si="21"/>
        <v>318541</v>
      </c>
      <c r="D528" s="564">
        <f t="shared" si="21"/>
        <v>337275</v>
      </c>
      <c r="E528" s="564">
        <f t="shared" si="21"/>
        <v>337628</v>
      </c>
      <c r="F528" s="564">
        <f t="shared" si="21"/>
        <v>347138</v>
      </c>
      <c r="G528" s="564">
        <f>SUM(G492+G457)</f>
        <v>353792</v>
      </c>
      <c r="H528" s="321">
        <f t="shared" si="20"/>
        <v>1.0191681694311772</v>
      </c>
    </row>
    <row r="529" spans="1:8" ht="12.75">
      <c r="A529" s="314"/>
      <c r="B529" s="341" t="s">
        <v>348</v>
      </c>
      <c r="C529" s="564">
        <f t="shared" si="21"/>
        <v>600</v>
      </c>
      <c r="D529" s="564">
        <f t="shared" si="21"/>
        <v>600</v>
      </c>
      <c r="E529" s="564">
        <f t="shared" si="21"/>
        <v>600</v>
      </c>
      <c r="F529" s="564">
        <f t="shared" si="21"/>
        <v>600</v>
      </c>
      <c r="G529" s="564">
        <f>SUM(G493+G458)</f>
        <v>600</v>
      </c>
      <c r="H529" s="321">
        <f t="shared" si="20"/>
        <v>1</v>
      </c>
    </row>
    <row r="530" spans="1:8" ht="13.5" thickBot="1">
      <c r="A530" s="314"/>
      <c r="B530" s="342" t="s">
        <v>479</v>
      </c>
      <c r="C530" s="564">
        <f t="shared" si="21"/>
        <v>0</v>
      </c>
      <c r="D530" s="564">
        <f t="shared" si="21"/>
        <v>0</v>
      </c>
      <c r="E530" s="564">
        <f t="shared" si="21"/>
        <v>0</v>
      </c>
      <c r="F530" s="564">
        <f t="shared" si="21"/>
        <v>0</v>
      </c>
      <c r="G530" s="564">
        <f>SUM(G494+G459)</f>
        <v>0</v>
      </c>
      <c r="H530" s="736"/>
    </row>
    <row r="531" spans="1:8" ht="13.5" thickBot="1">
      <c r="A531" s="314"/>
      <c r="B531" s="343" t="s">
        <v>65</v>
      </c>
      <c r="C531" s="802">
        <f>SUM(C526:C530)</f>
        <v>1347735</v>
      </c>
      <c r="D531" s="802">
        <f>SUM(D526:D530)</f>
        <v>1391727</v>
      </c>
      <c r="E531" s="802">
        <f>SUM(E526:E530)</f>
        <v>1395506</v>
      </c>
      <c r="F531" s="802">
        <f>SUM(F526:F530)</f>
        <v>1408506</v>
      </c>
      <c r="G531" s="802">
        <f>SUM(G526:G530)</f>
        <v>1409709</v>
      </c>
      <c r="H531" s="832">
        <f t="shared" si="20"/>
        <v>1.0008540964681727</v>
      </c>
    </row>
    <row r="532" spans="1:8" ht="12.75">
      <c r="A532" s="314"/>
      <c r="B532" s="340" t="s">
        <v>264</v>
      </c>
      <c r="C532" s="564">
        <f>SUM(C496+C461)</f>
        <v>14524</v>
      </c>
      <c r="D532" s="564">
        <f>SUM(D496+D461)</f>
        <v>19207</v>
      </c>
      <c r="E532" s="564">
        <f>SUM(E496+E461)</f>
        <v>23691</v>
      </c>
      <c r="F532" s="564">
        <f>SUM(F496+F461)</f>
        <v>23691</v>
      </c>
      <c r="G532" s="564">
        <f>SUM(G496+G461)</f>
        <v>23791</v>
      </c>
      <c r="H532" s="321">
        <f t="shared" si="20"/>
        <v>1.0042210121987252</v>
      </c>
    </row>
    <row r="533" spans="1:8" ht="12.75">
      <c r="A533" s="314"/>
      <c r="B533" s="340" t="s">
        <v>265</v>
      </c>
      <c r="C533" s="564">
        <f>SUM(C497)</f>
        <v>0</v>
      </c>
      <c r="D533" s="564">
        <f>SUM(D497)</f>
        <v>0</v>
      </c>
      <c r="E533" s="564">
        <f>SUM(E497)</f>
        <v>0</v>
      </c>
      <c r="F533" s="564">
        <f>SUM(F497)</f>
        <v>0</v>
      </c>
      <c r="G533" s="564">
        <f>SUM(G497)</f>
        <v>0</v>
      </c>
      <c r="H533" s="321"/>
    </row>
    <row r="534" spans="1:8" ht="13.5" thickBot="1">
      <c r="A534" s="314"/>
      <c r="B534" s="342" t="s">
        <v>479</v>
      </c>
      <c r="C534" s="801"/>
      <c r="D534" s="801"/>
      <c r="E534" s="801"/>
      <c r="F534" s="801"/>
      <c r="G534" s="801"/>
      <c r="H534" s="736"/>
    </row>
    <row r="535" spans="1:8" ht="13.5" thickBot="1">
      <c r="A535" s="314"/>
      <c r="B535" s="344" t="s">
        <v>71</v>
      </c>
      <c r="C535" s="802">
        <f>SUM(C532:C534)</f>
        <v>14524</v>
      </c>
      <c r="D535" s="802">
        <f>SUM(D532:D534)</f>
        <v>19207</v>
      </c>
      <c r="E535" s="802">
        <f>SUM(E532:E534)</f>
        <v>23691</v>
      </c>
      <c r="F535" s="802">
        <f>SUM(F532:F534)</f>
        <v>23691</v>
      </c>
      <c r="G535" s="802">
        <f>SUM(G532:G534)</f>
        <v>23791</v>
      </c>
      <c r="H535" s="832">
        <f t="shared" si="20"/>
        <v>1.0042210121987252</v>
      </c>
    </row>
    <row r="536" spans="1:8" ht="15.75" thickBot="1">
      <c r="A536" s="311"/>
      <c r="B536" s="345" t="s">
        <v>117</v>
      </c>
      <c r="C536" s="822">
        <f>SUM(C531+C535)</f>
        <v>1362259</v>
      </c>
      <c r="D536" s="822">
        <f>SUM(D531+D535)</f>
        <v>1410934</v>
      </c>
      <c r="E536" s="822">
        <f>SUM(E531+E535)</f>
        <v>1419197</v>
      </c>
      <c r="F536" s="822">
        <f>SUM(F531+F535)</f>
        <v>1432197</v>
      </c>
      <c r="G536" s="822">
        <f>SUM(G531+G535)</f>
        <v>1433500</v>
      </c>
      <c r="H536" s="1202">
        <f t="shared" si="20"/>
        <v>1.0009097910413163</v>
      </c>
    </row>
    <row r="537" spans="1:8" ht="15">
      <c r="A537" s="226">
        <v>2985</v>
      </c>
      <c r="B537" s="229" t="s">
        <v>360</v>
      </c>
      <c r="C537" s="564"/>
      <c r="D537" s="564"/>
      <c r="E537" s="564"/>
      <c r="F537" s="564"/>
      <c r="G537" s="564"/>
      <c r="H537" s="321"/>
    </row>
    <row r="538" spans="1:8" ht="12" customHeight="1">
      <c r="A538" s="314"/>
      <c r="B538" s="316" t="s">
        <v>201</v>
      </c>
      <c r="C538" s="592"/>
      <c r="D538" s="592"/>
      <c r="E538" s="592"/>
      <c r="F538" s="592"/>
      <c r="G538" s="592"/>
      <c r="H538" s="321"/>
    </row>
    <row r="539" spans="1:8" ht="13.5" thickBot="1">
      <c r="A539" s="314"/>
      <c r="B539" s="317" t="s">
        <v>202</v>
      </c>
      <c r="C539" s="810"/>
      <c r="D539" s="810"/>
      <c r="E539" s="810"/>
      <c r="F539" s="810">
        <v>2724</v>
      </c>
      <c r="G539" s="810">
        <v>3924</v>
      </c>
      <c r="H539" s="736">
        <f t="shared" si="20"/>
        <v>1.4405286343612336</v>
      </c>
    </row>
    <row r="540" spans="1:8" ht="13.5" thickBot="1">
      <c r="A540" s="314"/>
      <c r="B540" s="318" t="s">
        <v>215</v>
      </c>
      <c r="C540" s="811"/>
      <c r="D540" s="811"/>
      <c r="E540" s="811"/>
      <c r="F540" s="811">
        <v>2724</v>
      </c>
      <c r="G540" s="811">
        <f>SUM(G539)</f>
        <v>3924</v>
      </c>
      <c r="H540" s="832">
        <f t="shared" si="20"/>
        <v>1.4405286343612336</v>
      </c>
    </row>
    <row r="541" spans="1:8" ht="12.75">
      <c r="A541" s="314"/>
      <c r="B541" s="316" t="s">
        <v>442</v>
      </c>
      <c r="C541" s="826"/>
      <c r="D541" s="826"/>
      <c r="E541" s="826"/>
      <c r="F541" s="826">
        <v>63</v>
      </c>
      <c r="G541" s="826">
        <v>66</v>
      </c>
      <c r="H541" s="321">
        <f t="shared" si="20"/>
        <v>1.0476190476190477</v>
      </c>
    </row>
    <row r="542" spans="1:8" ht="12.75">
      <c r="A542" s="314"/>
      <c r="B542" s="316" t="s">
        <v>204</v>
      </c>
      <c r="C542" s="564">
        <f>SUM(C543)</f>
        <v>17346</v>
      </c>
      <c r="D542" s="564">
        <f>SUM(D543)</f>
        <v>17346</v>
      </c>
      <c r="E542" s="564">
        <f>SUM(E543)</f>
        <v>17346</v>
      </c>
      <c r="F542" s="564">
        <f>SUM(F543)</f>
        <v>19267</v>
      </c>
      <c r="G542" s="564">
        <f>SUM(G543)</f>
        <v>21230</v>
      </c>
      <c r="H542" s="321">
        <f t="shared" si="20"/>
        <v>1.1018840504489542</v>
      </c>
    </row>
    <row r="543" spans="1:8" ht="12.75">
      <c r="A543" s="314"/>
      <c r="B543" s="322" t="s">
        <v>205</v>
      </c>
      <c r="C543" s="805">
        <v>17346</v>
      </c>
      <c r="D543" s="805">
        <v>17346</v>
      </c>
      <c r="E543" s="805">
        <v>17346</v>
      </c>
      <c r="F543" s="805">
        <f>17346+1921</f>
        <v>19267</v>
      </c>
      <c r="G543" s="805">
        <v>21230</v>
      </c>
      <c r="H543" s="321">
        <f t="shared" si="20"/>
        <v>1.1018840504489542</v>
      </c>
    </row>
    <row r="544" spans="1:8" ht="12.75">
      <c r="A544" s="314"/>
      <c r="B544" s="322" t="s">
        <v>206</v>
      </c>
      <c r="C544" s="805"/>
      <c r="D544" s="805"/>
      <c r="E544" s="805"/>
      <c r="F544" s="805"/>
      <c r="G544" s="805"/>
      <c r="H544" s="321"/>
    </row>
    <row r="545" spans="1:8" ht="12.75">
      <c r="A545" s="314"/>
      <c r="B545" s="324" t="s">
        <v>207</v>
      </c>
      <c r="C545" s="564"/>
      <c r="D545" s="564"/>
      <c r="E545" s="564"/>
      <c r="F545" s="564">
        <v>813</v>
      </c>
      <c r="G545" s="564">
        <v>887</v>
      </c>
      <c r="H545" s="321">
        <f t="shared" si="20"/>
        <v>1.0910209102091022</v>
      </c>
    </row>
    <row r="546" spans="1:8" ht="12.75">
      <c r="A546" s="314"/>
      <c r="B546" s="324" t="s">
        <v>208</v>
      </c>
      <c r="C546" s="564"/>
      <c r="D546" s="564"/>
      <c r="E546" s="564"/>
      <c r="F546" s="564"/>
      <c r="G546" s="564"/>
      <c r="H546" s="321"/>
    </row>
    <row r="547" spans="1:8" ht="12.75">
      <c r="A547" s="314"/>
      <c r="B547" s="324" t="s">
        <v>209</v>
      </c>
      <c r="C547" s="564">
        <v>4673</v>
      </c>
      <c r="D547" s="564">
        <v>4673</v>
      </c>
      <c r="E547" s="564">
        <v>4673</v>
      </c>
      <c r="F547" s="564">
        <f>4673+266</f>
        <v>4939</v>
      </c>
      <c r="G547" s="564">
        <v>5488</v>
      </c>
      <c r="H547" s="321">
        <f t="shared" si="20"/>
        <v>1.11115610447459</v>
      </c>
    </row>
    <row r="548" spans="1:8" ht="12.75">
      <c r="A548" s="314"/>
      <c r="B548" s="324" t="s">
        <v>370</v>
      </c>
      <c r="C548" s="564"/>
      <c r="D548" s="564"/>
      <c r="E548" s="564"/>
      <c r="F548" s="564"/>
      <c r="G548" s="564"/>
      <c r="H548" s="321"/>
    </row>
    <row r="549" spans="1:8" ht="12.75">
      <c r="A549" s="314"/>
      <c r="B549" s="325" t="s">
        <v>500</v>
      </c>
      <c r="C549" s="564"/>
      <c r="D549" s="564"/>
      <c r="E549" s="564"/>
      <c r="F549" s="564"/>
      <c r="G549" s="564"/>
      <c r="H549" s="321"/>
    </row>
    <row r="550" spans="1:8" ht="13.5" thickBot="1">
      <c r="A550" s="314"/>
      <c r="B550" s="326" t="s">
        <v>210</v>
      </c>
      <c r="C550" s="564"/>
      <c r="D550" s="564"/>
      <c r="E550" s="564"/>
      <c r="F550" s="564">
        <v>232</v>
      </c>
      <c r="G550" s="564">
        <v>232</v>
      </c>
      <c r="H550" s="736">
        <f t="shared" si="20"/>
        <v>1</v>
      </c>
    </row>
    <row r="551" spans="1:8" ht="13.5" thickBot="1">
      <c r="A551" s="314"/>
      <c r="B551" s="328" t="s">
        <v>366</v>
      </c>
      <c r="C551" s="802">
        <f>SUM(C542+C545+C546+C547+C550+C541+C548+C549)</f>
        <v>22019</v>
      </c>
      <c r="D551" s="802">
        <f>SUM(D542+D545+D546+D547+D550+D541+D548+D549)</f>
        <v>22019</v>
      </c>
      <c r="E551" s="802">
        <f>SUM(E542+E545+E546+E547+E550+E541+E548+E549)</f>
        <v>22019</v>
      </c>
      <c r="F551" s="802">
        <f>SUM(F542+F545+F546+F547+F550+F541+F548+F549)</f>
        <v>25314</v>
      </c>
      <c r="G551" s="802">
        <f>SUM(G542+G545+G546+G547+G550+G541+G548+G549)</f>
        <v>27903</v>
      </c>
      <c r="H551" s="832">
        <f t="shared" si="20"/>
        <v>1.1022754207158094</v>
      </c>
    </row>
    <row r="552" spans="1:8" ht="13.5" thickBot="1">
      <c r="A552" s="314"/>
      <c r="B552" s="147" t="s">
        <v>240</v>
      </c>
      <c r="C552" s="806"/>
      <c r="D552" s="806"/>
      <c r="E552" s="806"/>
      <c r="F552" s="801">
        <v>700</v>
      </c>
      <c r="G552" s="801">
        <v>700</v>
      </c>
      <c r="H552" s="831">
        <f t="shared" si="20"/>
        <v>1</v>
      </c>
    </row>
    <row r="553" spans="1:8" ht="13.5" thickBot="1">
      <c r="A553" s="314"/>
      <c r="B553" s="587" t="s">
        <v>241</v>
      </c>
      <c r="C553" s="806"/>
      <c r="D553" s="806"/>
      <c r="E553" s="806"/>
      <c r="F553" s="806">
        <f>F552</f>
        <v>700</v>
      </c>
      <c r="G553" s="806">
        <f>G552</f>
        <v>700</v>
      </c>
      <c r="H553" s="832">
        <f t="shared" si="20"/>
        <v>1</v>
      </c>
    </row>
    <row r="554" spans="1:8" ht="13.5" thickBot="1">
      <c r="A554" s="314"/>
      <c r="B554" s="331" t="s">
        <v>72</v>
      </c>
      <c r="C554" s="808">
        <f>SUM(C551+C540+C553)</f>
        <v>22019</v>
      </c>
      <c r="D554" s="808">
        <f>SUM(D551+D540+D553)</f>
        <v>22019</v>
      </c>
      <c r="E554" s="808">
        <f>SUM(E551+E540+E553)</f>
        <v>22019</v>
      </c>
      <c r="F554" s="808">
        <f>SUM(F551+F540+F553)</f>
        <v>28738</v>
      </c>
      <c r="G554" s="808">
        <f>SUM(G551+G540+G553)</f>
        <v>32527</v>
      </c>
      <c r="H554" s="832">
        <f t="shared" si="20"/>
        <v>1.131846335861925</v>
      </c>
    </row>
    <row r="555" spans="1:8" ht="13.5" thickBot="1">
      <c r="A555" s="314"/>
      <c r="B555" s="130" t="s">
        <v>257</v>
      </c>
      <c r="C555" s="795"/>
      <c r="D555" s="795"/>
      <c r="E555" s="795"/>
      <c r="F555" s="795"/>
      <c r="G555" s="795"/>
      <c r="H555" s="831"/>
    </row>
    <row r="556" spans="1:8" ht="13.5" thickBot="1">
      <c r="A556" s="314"/>
      <c r="B556" s="333" t="s">
        <v>73</v>
      </c>
      <c r="C556" s="796"/>
      <c r="D556" s="796"/>
      <c r="E556" s="796"/>
      <c r="F556" s="796"/>
      <c r="G556" s="796"/>
      <c r="H556" s="831"/>
    </row>
    <row r="557" spans="1:8" ht="12.75">
      <c r="A557" s="314"/>
      <c r="B557" s="785" t="s">
        <v>470</v>
      </c>
      <c r="C557" s="565"/>
      <c r="D557" s="565">
        <v>433</v>
      </c>
      <c r="E557" s="565">
        <v>433</v>
      </c>
      <c r="F557" s="565">
        <v>433</v>
      </c>
      <c r="G557" s="565">
        <v>433</v>
      </c>
      <c r="H557" s="321">
        <f t="shared" si="20"/>
        <v>1</v>
      </c>
    </row>
    <row r="558" spans="1:8" ht="13.5" thickBot="1">
      <c r="A558" s="314"/>
      <c r="B558" s="336" t="s">
        <v>507</v>
      </c>
      <c r="C558" s="801">
        <v>266386</v>
      </c>
      <c r="D558" s="801">
        <v>271505</v>
      </c>
      <c r="E558" s="801">
        <v>277439</v>
      </c>
      <c r="F558" s="801">
        <f>277439+1236</f>
        <v>278675</v>
      </c>
      <c r="G558" s="801">
        <f>277439+1236</f>
        <v>278675</v>
      </c>
      <c r="H558" s="736">
        <f t="shared" si="20"/>
        <v>1</v>
      </c>
    </row>
    <row r="559" spans="1:8" ht="13.5" thickBot="1">
      <c r="A559" s="314"/>
      <c r="B559" s="337" t="s">
        <v>66</v>
      </c>
      <c r="C559" s="799">
        <f>SUM(C557:C558)</f>
        <v>266386</v>
      </c>
      <c r="D559" s="799">
        <f>SUM(D557:D558)</f>
        <v>271938</v>
      </c>
      <c r="E559" s="799">
        <f>SUM(E557:E558)</f>
        <v>277872</v>
      </c>
      <c r="F559" s="799">
        <f>SUM(F557:F558)</f>
        <v>279108</v>
      </c>
      <c r="G559" s="799">
        <f>SUM(G557:G558)</f>
        <v>279108</v>
      </c>
      <c r="H559" s="832">
        <f t="shared" si="20"/>
        <v>1</v>
      </c>
    </row>
    <row r="560" spans="1:8" ht="15.75" thickBot="1">
      <c r="A560" s="314"/>
      <c r="B560" s="339" t="s">
        <v>80</v>
      </c>
      <c r="C560" s="800">
        <f>SUM(C554+C556+C559)</f>
        <v>288405</v>
      </c>
      <c r="D560" s="800">
        <f>SUM(D554+D556+D559)</f>
        <v>293957</v>
      </c>
      <c r="E560" s="800">
        <f>SUM(E554+E556+E559)</f>
        <v>299891</v>
      </c>
      <c r="F560" s="800">
        <f>SUM(F554+F556+F559)</f>
        <v>307846</v>
      </c>
      <c r="G560" s="800">
        <f>SUM(G554+G556+G559)</f>
        <v>311635</v>
      </c>
      <c r="H560" s="1202">
        <f t="shared" si="20"/>
        <v>1.0123081021029996</v>
      </c>
    </row>
    <row r="561" spans="1:8" ht="12.75">
      <c r="A561" s="314"/>
      <c r="B561" s="340" t="s">
        <v>344</v>
      </c>
      <c r="C561" s="564">
        <v>100884</v>
      </c>
      <c r="D561" s="564">
        <v>107600</v>
      </c>
      <c r="E561" s="564">
        <v>105150</v>
      </c>
      <c r="F561" s="564">
        <f>105150+1034+683</f>
        <v>106867</v>
      </c>
      <c r="G561" s="564">
        <v>106067</v>
      </c>
      <c r="H561" s="321">
        <f t="shared" si="20"/>
        <v>0.9925140595319416</v>
      </c>
    </row>
    <row r="562" spans="1:8" ht="12.75">
      <c r="A562" s="314"/>
      <c r="B562" s="340" t="s">
        <v>345</v>
      </c>
      <c r="C562" s="564">
        <v>20112</v>
      </c>
      <c r="D562" s="564">
        <v>21947</v>
      </c>
      <c r="E562" s="564">
        <v>23104</v>
      </c>
      <c r="F562" s="564">
        <f>23104+202+1900</f>
        <v>25206</v>
      </c>
      <c r="G562" s="564">
        <v>25006</v>
      </c>
      <c r="H562" s="321">
        <f t="shared" si="20"/>
        <v>0.9920653812584306</v>
      </c>
    </row>
    <row r="563" spans="1:8" ht="12.75">
      <c r="A563" s="314"/>
      <c r="B563" s="340" t="s">
        <v>346</v>
      </c>
      <c r="C563" s="564">
        <v>160419</v>
      </c>
      <c r="D563" s="564">
        <v>157420</v>
      </c>
      <c r="E563" s="564">
        <v>164647</v>
      </c>
      <c r="F563" s="564">
        <f>164647+4136+2364</f>
        <v>171147</v>
      </c>
      <c r="G563" s="564">
        <v>175936</v>
      </c>
      <c r="H563" s="321">
        <f t="shared" si="20"/>
        <v>1.0279817934290405</v>
      </c>
    </row>
    <row r="564" spans="1:8" ht="12.75">
      <c r="A564" s="314"/>
      <c r="B564" s="340" t="s">
        <v>348</v>
      </c>
      <c r="C564" s="564"/>
      <c r="D564" s="564"/>
      <c r="E564" s="564"/>
      <c r="F564" s="564"/>
      <c r="G564" s="564"/>
      <c r="H564" s="321"/>
    </row>
    <row r="565" spans="1:8" ht="13.5" thickBot="1">
      <c r="A565" s="314"/>
      <c r="B565" s="593" t="s">
        <v>347</v>
      </c>
      <c r="C565" s="801"/>
      <c r="D565" s="801"/>
      <c r="E565" s="801"/>
      <c r="F565" s="801"/>
      <c r="G565" s="801"/>
      <c r="H565" s="736"/>
    </row>
    <row r="566" spans="1:8" ht="12.75">
      <c r="A566" s="592"/>
      <c r="B566" s="1161" t="s">
        <v>65</v>
      </c>
      <c r="C566" s="1162">
        <f>SUM(C561:C565)</f>
        <v>281415</v>
      </c>
      <c r="D566" s="1162">
        <f>SUM(D561:D565)</f>
        <v>286967</v>
      </c>
      <c r="E566" s="1162">
        <f>SUM(E561:E565)</f>
        <v>292901</v>
      </c>
      <c r="F566" s="1162">
        <f>SUM(F561:F565)</f>
        <v>303220</v>
      </c>
      <c r="G566" s="1162">
        <f>SUM(G561:G565)</f>
        <v>307009</v>
      </c>
      <c r="H566" s="1203">
        <f t="shared" si="20"/>
        <v>1.0124958775806345</v>
      </c>
    </row>
    <row r="567" spans="1:8" ht="12.75">
      <c r="A567" s="314"/>
      <c r="B567" s="590" t="s">
        <v>14</v>
      </c>
      <c r="C567" s="805">
        <v>88500</v>
      </c>
      <c r="D567" s="805">
        <v>88500</v>
      </c>
      <c r="E567" s="805">
        <v>93934</v>
      </c>
      <c r="F567" s="805">
        <v>93934</v>
      </c>
      <c r="G567" s="805">
        <v>96177</v>
      </c>
      <c r="H567" s="321">
        <f t="shared" si="20"/>
        <v>1.0238784678604127</v>
      </c>
    </row>
    <row r="568" spans="1:8" ht="12.75">
      <c r="A568" s="314"/>
      <c r="B568" s="1159" t="s">
        <v>13</v>
      </c>
      <c r="C568" s="1160">
        <v>35502</v>
      </c>
      <c r="D568" s="1160">
        <v>35502</v>
      </c>
      <c r="E568" s="1160">
        <v>36002</v>
      </c>
      <c r="F568" s="1160">
        <v>36002</v>
      </c>
      <c r="G568" s="1160">
        <v>38548</v>
      </c>
      <c r="H568" s="1204">
        <f t="shared" si="20"/>
        <v>1.070718293428143</v>
      </c>
    </row>
    <row r="569" spans="1:8" ht="12.75">
      <c r="A569" s="314"/>
      <c r="B569" s="340" t="s">
        <v>264</v>
      </c>
      <c r="C569" s="564">
        <v>6990</v>
      </c>
      <c r="D569" s="564">
        <v>6990</v>
      </c>
      <c r="E569" s="564">
        <v>6990</v>
      </c>
      <c r="F569" s="564">
        <f>6990-2364</f>
        <v>4626</v>
      </c>
      <c r="G569" s="564">
        <f>6990-2364</f>
        <v>4626</v>
      </c>
      <c r="H569" s="321">
        <f t="shared" si="20"/>
        <v>1</v>
      </c>
    </row>
    <row r="570" spans="1:8" ht="12.75">
      <c r="A570" s="314"/>
      <c r="B570" s="340" t="s">
        <v>265</v>
      </c>
      <c r="C570" s="564"/>
      <c r="D570" s="564"/>
      <c r="E570" s="564"/>
      <c r="F570" s="564"/>
      <c r="G570" s="564"/>
      <c r="H570" s="321"/>
    </row>
    <row r="571" spans="1:8" ht="13.5" thickBot="1">
      <c r="A571" s="314"/>
      <c r="B571" s="342" t="s">
        <v>479</v>
      </c>
      <c r="C571" s="801"/>
      <c r="D571" s="801"/>
      <c r="E571" s="801"/>
      <c r="F571" s="801"/>
      <c r="G571" s="801"/>
      <c r="H571" s="736"/>
    </row>
    <row r="572" spans="1:8" ht="13.5" thickBot="1">
      <c r="A572" s="314"/>
      <c r="B572" s="344" t="s">
        <v>71</v>
      </c>
      <c r="C572" s="802">
        <f>SUM(C569:C571)</f>
        <v>6990</v>
      </c>
      <c r="D572" s="802">
        <f>SUM(D569:D571)</f>
        <v>6990</v>
      </c>
      <c r="E572" s="802">
        <f>SUM(E569:E571)</f>
        <v>6990</v>
      </c>
      <c r="F572" s="802">
        <f>SUM(F569:F571)</f>
        <v>4626</v>
      </c>
      <c r="G572" s="802">
        <f>SUM(G569:G571)</f>
        <v>4626</v>
      </c>
      <c r="H572" s="832">
        <f t="shared" si="20"/>
        <v>1</v>
      </c>
    </row>
    <row r="573" spans="1:10" ht="15.75" thickBot="1">
      <c r="A573" s="311"/>
      <c r="B573" s="345" t="s">
        <v>117</v>
      </c>
      <c r="C573" s="800">
        <f>SUM(C566+C572)</f>
        <v>288405</v>
      </c>
      <c r="D573" s="800">
        <f>SUM(D566+D572)</f>
        <v>293957</v>
      </c>
      <c r="E573" s="800">
        <f>SUM(E566+E572)</f>
        <v>299891</v>
      </c>
      <c r="F573" s="800">
        <f>SUM(F566+F572)</f>
        <v>307846</v>
      </c>
      <c r="G573" s="800">
        <f>SUM(G566+G572)</f>
        <v>311635</v>
      </c>
      <c r="H573" s="832">
        <f t="shared" si="20"/>
        <v>1.0123081021029996</v>
      </c>
      <c r="J573" s="829"/>
    </row>
    <row r="574" spans="1:8" ht="15">
      <c r="A574" s="226">
        <v>2986</v>
      </c>
      <c r="B574" s="229" t="s">
        <v>439</v>
      </c>
      <c r="C574" s="564"/>
      <c r="D574" s="564"/>
      <c r="E574" s="564"/>
      <c r="F574" s="564"/>
      <c r="G574" s="564"/>
      <c r="H574" s="321"/>
    </row>
    <row r="575" spans="1:8" ht="12.75">
      <c r="A575" s="314"/>
      <c r="B575" s="316" t="s">
        <v>201</v>
      </c>
      <c r="C575" s="592"/>
      <c r="D575" s="592"/>
      <c r="E575" s="592"/>
      <c r="F575" s="592"/>
      <c r="G575" s="592"/>
      <c r="H575" s="321"/>
    </row>
    <row r="576" spans="1:8" ht="13.5" thickBot="1">
      <c r="A576" s="314"/>
      <c r="B576" s="317" t="s">
        <v>202</v>
      </c>
      <c r="C576" s="810">
        <v>8812</v>
      </c>
      <c r="D576" s="810">
        <v>8812</v>
      </c>
      <c r="E576" s="810">
        <v>8812</v>
      </c>
      <c r="F576" s="810">
        <f>8812+10000</f>
        <v>18812</v>
      </c>
      <c r="G576" s="810">
        <v>18811</v>
      </c>
      <c r="H576" s="736">
        <f t="shared" si="20"/>
        <v>0.9999468424409951</v>
      </c>
    </row>
    <row r="577" spans="1:8" ht="13.5" thickBot="1">
      <c r="A577" s="314"/>
      <c r="B577" s="318" t="s">
        <v>215</v>
      </c>
      <c r="C577" s="811">
        <f>SUM(C576)</f>
        <v>8812</v>
      </c>
      <c r="D577" s="811">
        <f>SUM(D576)</f>
        <v>8812</v>
      </c>
      <c r="E577" s="811">
        <f>SUM(E576)</f>
        <v>8812</v>
      </c>
      <c r="F577" s="811">
        <f>SUM(F576)</f>
        <v>18812</v>
      </c>
      <c r="G577" s="811">
        <f>SUM(G576)</f>
        <v>18811</v>
      </c>
      <c r="H577" s="832">
        <f t="shared" si="20"/>
        <v>0.9999468424409951</v>
      </c>
    </row>
    <row r="578" spans="1:8" ht="12.75">
      <c r="A578" s="314"/>
      <c r="B578" s="316" t="s">
        <v>204</v>
      </c>
      <c r="C578" s="564">
        <f>SUM(C579:C580)</f>
        <v>23680</v>
      </c>
      <c r="D578" s="564">
        <f>SUM(D579:D580)</f>
        <v>23680</v>
      </c>
      <c r="E578" s="564">
        <f>SUM(E579:E580)</f>
        <v>23680</v>
      </c>
      <c r="F578" s="564">
        <f>SUM(F579:F580)</f>
        <v>13680</v>
      </c>
      <c r="G578" s="564">
        <f>SUM(G579:G580)</f>
        <v>16332</v>
      </c>
      <c r="H578" s="321">
        <f t="shared" si="20"/>
        <v>1.193859649122807</v>
      </c>
    </row>
    <row r="579" spans="1:8" ht="12.75">
      <c r="A579" s="314"/>
      <c r="B579" s="322" t="s">
        <v>205</v>
      </c>
      <c r="C579" s="805">
        <v>23680</v>
      </c>
      <c r="D579" s="805">
        <v>23680</v>
      </c>
      <c r="E579" s="805">
        <v>23680</v>
      </c>
      <c r="F579" s="805">
        <f>23680-10000</f>
        <v>13680</v>
      </c>
      <c r="G579" s="805">
        <v>16332</v>
      </c>
      <c r="H579" s="321">
        <f t="shared" si="20"/>
        <v>1.193859649122807</v>
      </c>
    </row>
    <row r="580" spans="1:8" ht="12.75">
      <c r="A580" s="314"/>
      <c r="B580" s="322" t="s">
        <v>206</v>
      </c>
      <c r="C580" s="805"/>
      <c r="D580" s="805"/>
      <c r="E580" s="805"/>
      <c r="F580" s="805"/>
      <c r="G580" s="805"/>
      <c r="H580" s="321"/>
    </row>
    <row r="581" spans="1:8" ht="12.75">
      <c r="A581" s="314"/>
      <c r="B581" s="324" t="s">
        <v>207</v>
      </c>
      <c r="C581" s="564"/>
      <c r="D581" s="564"/>
      <c r="E581" s="564"/>
      <c r="F581" s="564"/>
      <c r="G581" s="564"/>
      <c r="H581" s="321"/>
    </row>
    <row r="582" spans="1:8" ht="12.75">
      <c r="A582" s="314"/>
      <c r="B582" s="324" t="s">
        <v>208</v>
      </c>
      <c r="C582" s="564"/>
      <c r="D582" s="564"/>
      <c r="E582" s="564"/>
      <c r="F582" s="564"/>
      <c r="G582" s="564"/>
      <c r="H582" s="321"/>
    </row>
    <row r="583" spans="1:8" ht="12.75">
      <c r="A583" s="314"/>
      <c r="B583" s="324" t="s">
        <v>209</v>
      </c>
      <c r="C583" s="564">
        <v>6393</v>
      </c>
      <c r="D583" s="564">
        <v>6393</v>
      </c>
      <c r="E583" s="564">
        <v>6393</v>
      </c>
      <c r="F583" s="564">
        <f>6393-2850</f>
        <v>3543</v>
      </c>
      <c r="G583" s="564">
        <v>4414</v>
      </c>
      <c r="H583" s="321">
        <f t="shared" si="20"/>
        <v>1.2458368614168784</v>
      </c>
    </row>
    <row r="584" spans="1:8" ht="12.75">
      <c r="A584" s="314"/>
      <c r="B584" s="324" t="s">
        <v>370</v>
      </c>
      <c r="C584" s="564"/>
      <c r="D584" s="564"/>
      <c r="E584" s="564"/>
      <c r="F584" s="564">
        <v>4902</v>
      </c>
      <c r="G584" s="564">
        <v>4902</v>
      </c>
      <c r="H584" s="321">
        <f t="shared" si="20"/>
        <v>1</v>
      </c>
    </row>
    <row r="585" spans="1:8" ht="12.75">
      <c r="A585" s="314"/>
      <c r="B585" s="325" t="s">
        <v>500</v>
      </c>
      <c r="C585" s="564"/>
      <c r="D585" s="564"/>
      <c r="E585" s="564"/>
      <c r="F585" s="564"/>
      <c r="G585" s="564">
        <v>24</v>
      </c>
      <c r="H585" s="321"/>
    </row>
    <row r="586" spans="1:8" ht="13.5" thickBot="1">
      <c r="A586" s="314"/>
      <c r="B586" s="326" t="s">
        <v>210</v>
      </c>
      <c r="C586" s="564"/>
      <c r="D586" s="564"/>
      <c r="E586" s="564"/>
      <c r="F586" s="564"/>
      <c r="G586" s="564">
        <v>184</v>
      </c>
      <c r="H586" s="736"/>
    </row>
    <row r="587" spans="1:8" ht="13.5" thickBot="1">
      <c r="A587" s="314"/>
      <c r="B587" s="328" t="s">
        <v>366</v>
      </c>
      <c r="C587" s="802">
        <f>SUM(C578+C581+C582+C583+C586)</f>
        <v>30073</v>
      </c>
      <c r="D587" s="802">
        <f>SUM(D578+D581+D582+D583+D586)</f>
        <v>30073</v>
      </c>
      <c r="E587" s="802">
        <f>SUM(E578+E581+E582+E583+E586)</f>
        <v>30073</v>
      </c>
      <c r="F587" s="802">
        <f>SUM(F578+F581+F582+F583+F584+F586)</f>
        <v>22125</v>
      </c>
      <c r="G587" s="802">
        <f>SUM(G578+G581+G582+G583+G584+G586+G585)</f>
        <v>25856</v>
      </c>
      <c r="H587" s="832">
        <f t="shared" si="20"/>
        <v>1.168632768361582</v>
      </c>
    </row>
    <row r="588" spans="1:8" ht="13.5" thickBot="1">
      <c r="A588" s="314"/>
      <c r="B588" s="147" t="s">
        <v>240</v>
      </c>
      <c r="C588" s="806"/>
      <c r="D588" s="806"/>
      <c r="E588" s="806"/>
      <c r="F588" s="806"/>
      <c r="G588" s="806"/>
      <c r="H588" s="831"/>
    </row>
    <row r="589" spans="1:8" ht="13.5" thickBot="1">
      <c r="A589" s="314"/>
      <c r="B589" s="587" t="s">
        <v>241</v>
      </c>
      <c r="C589" s="806"/>
      <c r="D589" s="806"/>
      <c r="E589" s="806"/>
      <c r="F589" s="806">
        <f>F588</f>
        <v>0</v>
      </c>
      <c r="G589" s="806">
        <f>G588</f>
        <v>0</v>
      </c>
      <c r="H589" s="831"/>
    </row>
    <row r="590" spans="1:8" ht="13.5" thickBot="1">
      <c r="A590" s="314"/>
      <c r="B590" s="331" t="s">
        <v>72</v>
      </c>
      <c r="C590" s="808">
        <f>SUM(C587+C577+C589)</f>
        <v>38885</v>
      </c>
      <c r="D590" s="808">
        <f>SUM(D587+D577+D589)</f>
        <v>38885</v>
      </c>
      <c r="E590" s="808">
        <f>SUM(E587+E577+E589)</f>
        <v>38885</v>
      </c>
      <c r="F590" s="808">
        <f>SUM(F587+F577+F589)</f>
        <v>40937</v>
      </c>
      <c r="G590" s="808">
        <f>SUM(G587+G577+G589)</f>
        <v>44667</v>
      </c>
      <c r="H590" s="832">
        <f aca="true" t="shared" si="22" ref="H590:H646">SUM(G590/F590)</f>
        <v>1.0911156166792877</v>
      </c>
    </row>
    <row r="591" spans="1:8" ht="13.5" thickBot="1">
      <c r="A591" s="314"/>
      <c r="B591" s="130" t="s">
        <v>257</v>
      </c>
      <c r="C591" s="795"/>
      <c r="D591" s="795"/>
      <c r="E591" s="795"/>
      <c r="F591" s="795"/>
      <c r="G591" s="795"/>
      <c r="H591" s="831"/>
    </row>
    <row r="592" spans="1:8" ht="13.5" thickBot="1">
      <c r="A592" s="314"/>
      <c r="B592" s="333" t="s">
        <v>73</v>
      </c>
      <c r="C592" s="796"/>
      <c r="D592" s="796"/>
      <c r="E592" s="796"/>
      <c r="F592" s="796"/>
      <c r="G592" s="796"/>
      <c r="H592" s="831"/>
    </row>
    <row r="593" spans="1:8" ht="12.75">
      <c r="A593" s="314"/>
      <c r="B593" s="785" t="s">
        <v>470</v>
      </c>
      <c r="C593" s="565"/>
      <c r="D593" s="565"/>
      <c r="E593" s="565"/>
      <c r="F593" s="565"/>
      <c r="G593" s="565"/>
      <c r="H593" s="321"/>
    </row>
    <row r="594" spans="1:8" ht="13.5" thickBot="1">
      <c r="A594" s="314"/>
      <c r="B594" s="336" t="s">
        <v>507</v>
      </c>
      <c r="C594" s="801">
        <v>106580</v>
      </c>
      <c r="D594" s="801">
        <v>109871</v>
      </c>
      <c r="E594" s="801">
        <v>109871</v>
      </c>
      <c r="F594" s="801">
        <f>109871+1237</f>
        <v>111108</v>
      </c>
      <c r="G594" s="801">
        <f>109871+1237</f>
        <v>111108</v>
      </c>
      <c r="H594" s="736">
        <f t="shared" si="22"/>
        <v>1</v>
      </c>
    </row>
    <row r="595" spans="1:8" ht="13.5" thickBot="1">
      <c r="A595" s="314"/>
      <c r="B595" s="337" t="s">
        <v>66</v>
      </c>
      <c r="C595" s="799">
        <f>SUM(C593:C594)</f>
        <v>106580</v>
      </c>
      <c r="D595" s="799">
        <f>SUM(D593:D594)</f>
        <v>109871</v>
      </c>
      <c r="E595" s="799">
        <f>SUM(E593:E594)</f>
        <v>109871</v>
      </c>
      <c r="F595" s="799">
        <f>SUM(F593:F594)</f>
        <v>111108</v>
      </c>
      <c r="G595" s="799">
        <f>SUM(G593:G594)</f>
        <v>111108</v>
      </c>
      <c r="H595" s="832">
        <f t="shared" si="22"/>
        <v>1</v>
      </c>
    </row>
    <row r="596" spans="1:8" ht="15.75" thickBot="1">
      <c r="A596" s="314"/>
      <c r="B596" s="339" t="s">
        <v>80</v>
      </c>
      <c r="C596" s="800">
        <f>SUM(C590+C592+C595)</f>
        <v>145465</v>
      </c>
      <c r="D596" s="800">
        <f>SUM(D590+D592+D595)</f>
        <v>148756</v>
      </c>
      <c r="E596" s="800">
        <f>SUM(E590+E592+E595)</f>
        <v>148756</v>
      </c>
      <c r="F596" s="800">
        <f>SUM(F590+F592+F595)</f>
        <v>152045</v>
      </c>
      <c r="G596" s="800">
        <f>SUM(G590+G592+G595)</f>
        <v>155775</v>
      </c>
      <c r="H596" s="1202">
        <f t="shared" si="22"/>
        <v>1.0245322108586274</v>
      </c>
    </row>
    <row r="597" spans="1:8" ht="12.75">
      <c r="A597" s="314"/>
      <c r="B597" s="340" t="s">
        <v>344</v>
      </c>
      <c r="C597" s="564">
        <v>46873</v>
      </c>
      <c r="D597" s="564">
        <v>48977</v>
      </c>
      <c r="E597" s="564">
        <v>48977</v>
      </c>
      <c r="F597" s="564">
        <f>48977+1035</f>
        <v>50012</v>
      </c>
      <c r="G597" s="564">
        <v>46012</v>
      </c>
      <c r="H597" s="321">
        <f t="shared" si="22"/>
        <v>0.9200191953931056</v>
      </c>
    </row>
    <row r="598" spans="1:8" ht="12.75">
      <c r="A598" s="314"/>
      <c r="B598" s="340" t="s">
        <v>345</v>
      </c>
      <c r="C598" s="564">
        <v>9421</v>
      </c>
      <c r="D598" s="564">
        <v>9831</v>
      </c>
      <c r="E598" s="564">
        <v>9831</v>
      </c>
      <c r="F598" s="564">
        <f>9831+202</f>
        <v>10033</v>
      </c>
      <c r="G598" s="564">
        <f>9831+202</f>
        <v>10033</v>
      </c>
      <c r="H598" s="321">
        <f t="shared" si="22"/>
        <v>1</v>
      </c>
    </row>
    <row r="599" spans="1:8" ht="12.75">
      <c r="A599" s="314"/>
      <c r="B599" s="340" t="s">
        <v>346</v>
      </c>
      <c r="C599" s="564">
        <v>86671</v>
      </c>
      <c r="D599" s="564">
        <v>87448</v>
      </c>
      <c r="E599" s="564">
        <v>87448</v>
      </c>
      <c r="F599" s="564">
        <f>87448+2052</f>
        <v>89500</v>
      </c>
      <c r="G599" s="564">
        <v>97230</v>
      </c>
      <c r="H599" s="321">
        <f t="shared" si="22"/>
        <v>1.0863687150837988</v>
      </c>
    </row>
    <row r="600" spans="1:8" ht="12.75">
      <c r="A600" s="314"/>
      <c r="B600" s="340" t="s">
        <v>348</v>
      </c>
      <c r="C600" s="564"/>
      <c r="D600" s="564"/>
      <c r="E600" s="564"/>
      <c r="F600" s="564"/>
      <c r="G600" s="564"/>
      <c r="H600" s="321"/>
    </row>
    <row r="601" spans="1:8" ht="13.5" thickBot="1">
      <c r="A601" s="314"/>
      <c r="B601" s="593" t="s">
        <v>347</v>
      </c>
      <c r="C601" s="801"/>
      <c r="D601" s="801"/>
      <c r="E601" s="801"/>
      <c r="F601" s="801"/>
      <c r="G601" s="801"/>
      <c r="H601" s="736"/>
    </row>
    <row r="602" spans="1:8" ht="13.5" thickBot="1">
      <c r="A602" s="314"/>
      <c r="B602" s="343" t="s">
        <v>65</v>
      </c>
      <c r="C602" s="823">
        <f>SUM(C597:C601)</f>
        <v>142965</v>
      </c>
      <c r="D602" s="823">
        <f>SUM(D597:D601)</f>
        <v>146256</v>
      </c>
      <c r="E602" s="823">
        <f>SUM(E597:E601)</f>
        <v>146256</v>
      </c>
      <c r="F602" s="823">
        <f>SUM(F597:F601)</f>
        <v>149545</v>
      </c>
      <c r="G602" s="823">
        <f>SUM(G597:G601)</f>
        <v>153275</v>
      </c>
      <c r="H602" s="832">
        <f t="shared" si="22"/>
        <v>1.0249423250526597</v>
      </c>
    </row>
    <row r="603" spans="1:8" ht="12.75">
      <c r="A603" s="314"/>
      <c r="B603" s="340" t="s">
        <v>264</v>
      </c>
      <c r="C603" s="564">
        <v>2500</v>
      </c>
      <c r="D603" s="564">
        <v>2500</v>
      </c>
      <c r="E603" s="564">
        <v>2500</v>
      </c>
      <c r="F603" s="564">
        <v>2500</v>
      </c>
      <c r="G603" s="564">
        <v>2500</v>
      </c>
      <c r="H603" s="321">
        <f t="shared" si="22"/>
        <v>1</v>
      </c>
    </row>
    <row r="604" spans="1:8" ht="12.75">
      <c r="A604" s="314"/>
      <c r="B604" s="340" t="s">
        <v>265</v>
      </c>
      <c r="C604" s="564"/>
      <c r="D604" s="564"/>
      <c r="E604" s="564"/>
      <c r="F604" s="564"/>
      <c r="G604" s="564"/>
      <c r="H604" s="321"/>
    </row>
    <row r="605" spans="1:8" ht="13.5" thickBot="1">
      <c r="A605" s="314"/>
      <c r="B605" s="342" t="s">
        <v>479</v>
      </c>
      <c r="C605" s="801"/>
      <c r="D605" s="801"/>
      <c r="E605" s="801"/>
      <c r="F605" s="801"/>
      <c r="G605" s="801"/>
      <c r="H605" s="736"/>
    </row>
    <row r="606" spans="1:8" ht="13.5" thickBot="1">
      <c r="A606" s="314"/>
      <c r="B606" s="344" t="s">
        <v>71</v>
      </c>
      <c r="C606" s="802">
        <f>SUM(C603:C605)</f>
        <v>2500</v>
      </c>
      <c r="D606" s="802">
        <f>SUM(D603:D605)</f>
        <v>2500</v>
      </c>
      <c r="E606" s="802">
        <f>SUM(E603:E605)</f>
        <v>2500</v>
      </c>
      <c r="F606" s="802">
        <f>SUM(F603:F605)</f>
        <v>2500</v>
      </c>
      <c r="G606" s="802">
        <f>SUM(G603:G605)</f>
        <v>2500</v>
      </c>
      <c r="H606" s="832">
        <f t="shared" si="22"/>
        <v>1</v>
      </c>
    </row>
    <row r="607" spans="1:10" ht="15.75" thickBot="1">
      <c r="A607" s="311"/>
      <c r="B607" s="345" t="s">
        <v>117</v>
      </c>
      <c r="C607" s="800">
        <f>SUM(C606,C602)</f>
        <v>145465</v>
      </c>
      <c r="D607" s="800">
        <f>SUM(D606,D602)</f>
        <v>148756</v>
      </c>
      <c r="E607" s="800">
        <f>SUM(E606,E602)</f>
        <v>148756</v>
      </c>
      <c r="F607" s="800">
        <f>SUM(F606,F602)</f>
        <v>152045</v>
      </c>
      <c r="G607" s="800">
        <f>SUM(G606,G602)</f>
        <v>155775</v>
      </c>
      <c r="H607" s="1202">
        <f t="shared" si="22"/>
        <v>1.0245322108586274</v>
      </c>
      <c r="J607" s="829"/>
    </row>
    <row r="608" spans="1:8" ht="15">
      <c r="A608" s="226">
        <v>2991</v>
      </c>
      <c r="B608" s="229" t="s">
        <v>216</v>
      </c>
      <c r="C608" s="809"/>
      <c r="D608" s="809"/>
      <c r="E608" s="809"/>
      <c r="F608" s="809"/>
      <c r="G608" s="809"/>
      <c r="H608" s="321"/>
    </row>
    <row r="609" spans="1:8" ht="12.75">
      <c r="A609" s="314"/>
      <c r="B609" s="316" t="s">
        <v>201</v>
      </c>
      <c r="C609" s="592"/>
      <c r="D609" s="592"/>
      <c r="E609" s="592"/>
      <c r="F609" s="592"/>
      <c r="G609" s="592"/>
      <c r="H609" s="321"/>
    </row>
    <row r="610" spans="1:8" ht="13.5" thickBot="1">
      <c r="A610" s="314"/>
      <c r="B610" s="317" t="s">
        <v>202</v>
      </c>
      <c r="C610" s="801">
        <f>SUM(C503+C539+C396+C576)</f>
        <v>8812</v>
      </c>
      <c r="D610" s="801">
        <f>SUM(D503+D539+D396+D576)</f>
        <v>10162</v>
      </c>
      <c r="E610" s="801">
        <f>SUM(E503+E539+E396+E576)</f>
        <v>13418</v>
      </c>
      <c r="F610" s="801">
        <f>SUM(F503+F539+F396+F576)</f>
        <v>34142</v>
      </c>
      <c r="G610" s="801">
        <f>SUM(G503+G539+G396+G576)</f>
        <v>44935</v>
      </c>
      <c r="H610" s="736">
        <f t="shared" si="22"/>
        <v>1.3161209068010076</v>
      </c>
    </row>
    <row r="611" spans="1:8" ht="13.5" thickBot="1">
      <c r="A611" s="314"/>
      <c r="B611" s="318" t="s">
        <v>215</v>
      </c>
      <c r="C611" s="816">
        <f>SUM(C610)</f>
        <v>8812</v>
      </c>
      <c r="D611" s="816">
        <f>SUM(D610)</f>
        <v>10162</v>
      </c>
      <c r="E611" s="816">
        <f>SUM(E610)</f>
        <v>13418</v>
      </c>
      <c r="F611" s="816">
        <f>SUM(F610)</f>
        <v>34142</v>
      </c>
      <c r="G611" s="816">
        <f>SUM(G610)</f>
        <v>44935</v>
      </c>
      <c r="H611" s="832">
        <f t="shared" si="22"/>
        <v>1.3161209068010076</v>
      </c>
    </row>
    <row r="612" spans="1:8" ht="12.75">
      <c r="A612" s="314"/>
      <c r="B612" s="316" t="s">
        <v>445</v>
      </c>
      <c r="C612" s="564">
        <f>SUM(C541)</f>
        <v>0</v>
      </c>
      <c r="D612" s="564">
        <f>SUM(D541)</f>
        <v>0</v>
      </c>
      <c r="E612" s="564">
        <f>SUM(E541)</f>
        <v>0</v>
      </c>
      <c r="F612" s="564">
        <f>SUM(F541)</f>
        <v>63</v>
      </c>
      <c r="G612" s="564">
        <f>SUM(G541)</f>
        <v>66</v>
      </c>
      <c r="H612" s="321">
        <f t="shared" si="22"/>
        <v>1.0476190476190477</v>
      </c>
    </row>
    <row r="613" spans="1:8" ht="12.75">
      <c r="A613" s="314"/>
      <c r="B613" s="316" t="s">
        <v>204</v>
      </c>
      <c r="C613" s="564">
        <f aca="true" t="shared" si="23" ref="C613:F614">SUM(C542+C505+C398+C578)</f>
        <v>78886</v>
      </c>
      <c r="D613" s="564">
        <f t="shared" si="23"/>
        <v>78886</v>
      </c>
      <c r="E613" s="564">
        <f t="shared" si="23"/>
        <v>78886</v>
      </c>
      <c r="F613" s="564">
        <f t="shared" si="23"/>
        <v>70371</v>
      </c>
      <c r="G613" s="564">
        <f>SUM(G542+G505+G398+G578)</f>
        <v>80159</v>
      </c>
      <c r="H613" s="321">
        <f t="shared" si="22"/>
        <v>1.139091387077063</v>
      </c>
    </row>
    <row r="614" spans="1:8" ht="12.75">
      <c r="A614" s="314"/>
      <c r="B614" s="322" t="s">
        <v>205</v>
      </c>
      <c r="C614" s="805">
        <f t="shared" si="23"/>
        <v>41971</v>
      </c>
      <c r="D614" s="805">
        <f t="shared" si="23"/>
        <v>41971</v>
      </c>
      <c r="E614" s="805">
        <f t="shared" si="23"/>
        <v>41971</v>
      </c>
      <c r="F614" s="805">
        <f t="shared" si="23"/>
        <v>39867</v>
      </c>
      <c r="G614" s="805">
        <f>SUM(G543+G506+G399+G579)</f>
        <v>45724</v>
      </c>
      <c r="H614" s="321">
        <f t="shared" si="22"/>
        <v>1.1469134873454236</v>
      </c>
    </row>
    <row r="615" spans="1:8" ht="12.75">
      <c r="A615" s="314"/>
      <c r="B615" s="322" t="s">
        <v>206</v>
      </c>
      <c r="C615" s="805">
        <f aca="true" t="shared" si="24" ref="C615:F617">SUM(C544+C507+C400)</f>
        <v>36915</v>
      </c>
      <c r="D615" s="805">
        <f t="shared" si="24"/>
        <v>36915</v>
      </c>
      <c r="E615" s="805">
        <f t="shared" si="24"/>
        <v>36915</v>
      </c>
      <c r="F615" s="805">
        <f t="shared" si="24"/>
        <v>30504</v>
      </c>
      <c r="G615" s="805">
        <f>SUM(G544+G507+G400)</f>
        <v>34435</v>
      </c>
      <c r="H615" s="321">
        <f t="shared" si="22"/>
        <v>1.1288683451350643</v>
      </c>
    </row>
    <row r="616" spans="1:8" ht="12.75">
      <c r="A616" s="314"/>
      <c r="B616" s="324" t="s">
        <v>207</v>
      </c>
      <c r="C616" s="564">
        <f t="shared" si="24"/>
        <v>8225</v>
      </c>
      <c r="D616" s="564">
        <f t="shared" si="24"/>
        <v>8225</v>
      </c>
      <c r="E616" s="564">
        <f t="shared" si="24"/>
        <v>8331</v>
      </c>
      <c r="F616" s="564">
        <f t="shared" si="24"/>
        <v>13651</v>
      </c>
      <c r="G616" s="564">
        <f>SUM(G545+G508+G401)</f>
        <v>14799</v>
      </c>
      <c r="H616" s="321">
        <f t="shared" si="22"/>
        <v>1.084096403193905</v>
      </c>
    </row>
    <row r="617" spans="1:8" ht="12.75">
      <c r="A617" s="314"/>
      <c r="B617" s="324" t="s">
        <v>208</v>
      </c>
      <c r="C617" s="564">
        <f t="shared" si="24"/>
        <v>178375</v>
      </c>
      <c r="D617" s="564">
        <f t="shared" si="24"/>
        <v>178375</v>
      </c>
      <c r="E617" s="564">
        <f t="shared" si="24"/>
        <v>178375</v>
      </c>
      <c r="F617" s="564">
        <f t="shared" si="24"/>
        <v>180937</v>
      </c>
      <c r="G617" s="564">
        <f>SUM(G546+G509+G402)</f>
        <v>195161</v>
      </c>
      <c r="H617" s="321">
        <f t="shared" si="22"/>
        <v>1.0786129978942947</v>
      </c>
    </row>
    <row r="618" spans="1:8" ht="12.75">
      <c r="A618" s="314"/>
      <c r="B618" s="324" t="s">
        <v>209</v>
      </c>
      <c r="C618" s="564">
        <f>SUM(C547+C510+C403+C583)</f>
        <v>68879</v>
      </c>
      <c r="D618" s="564">
        <f>SUM(D547+D510+D403+D583)</f>
        <v>68879</v>
      </c>
      <c r="E618" s="564">
        <f>SUM(E547+E510+E403+E583)</f>
        <v>68879</v>
      </c>
      <c r="F618" s="564">
        <f>SUM(F547+F510+F403+F583)</f>
        <v>66295</v>
      </c>
      <c r="G618" s="564">
        <f>SUM(G547+G510+G403+G583)</f>
        <v>72409</v>
      </c>
      <c r="H618" s="321">
        <f t="shared" si="22"/>
        <v>1.0922241496342107</v>
      </c>
    </row>
    <row r="619" spans="1:8" ht="12.75">
      <c r="A619" s="314"/>
      <c r="B619" s="324" t="s">
        <v>370</v>
      </c>
      <c r="C619" s="564">
        <f>C511+C548</f>
        <v>0</v>
      </c>
      <c r="D619" s="564">
        <f>D511+D548</f>
        <v>0</v>
      </c>
      <c r="E619" s="564">
        <f>E511+E548</f>
        <v>0</v>
      </c>
      <c r="F619" s="564">
        <f>F511+F548+F584</f>
        <v>4902</v>
      </c>
      <c r="G619" s="564">
        <f>G511+G548+G584</f>
        <v>12215</v>
      </c>
      <c r="H619" s="321">
        <f t="shared" si="22"/>
        <v>2.4918400652794777</v>
      </c>
    </row>
    <row r="620" spans="1:8" ht="12.75">
      <c r="A620" s="314"/>
      <c r="B620" s="325" t="s">
        <v>500</v>
      </c>
      <c r="C620" s="564">
        <f aca="true" t="shared" si="25" ref="C620:F621">SUM(C549+C512+C405)</f>
        <v>0</v>
      </c>
      <c r="D620" s="564">
        <f t="shared" si="25"/>
        <v>0</v>
      </c>
      <c r="E620" s="564">
        <f t="shared" si="25"/>
        <v>0</v>
      </c>
      <c r="F620" s="564">
        <f t="shared" si="25"/>
        <v>0</v>
      </c>
      <c r="G620" s="564">
        <f>SUM(G549+G512+G405+G585)</f>
        <v>27</v>
      </c>
      <c r="H620" s="321"/>
    </row>
    <row r="621" spans="1:8" ht="13.5" thickBot="1">
      <c r="A621" s="314"/>
      <c r="B621" s="326" t="s">
        <v>210</v>
      </c>
      <c r="C621" s="564">
        <f t="shared" si="25"/>
        <v>0</v>
      </c>
      <c r="D621" s="564">
        <f t="shared" si="25"/>
        <v>0</v>
      </c>
      <c r="E621" s="564">
        <f t="shared" si="25"/>
        <v>328</v>
      </c>
      <c r="F621" s="564">
        <f t="shared" si="25"/>
        <v>5280</v>
      </c>
      <c r="G621" s="564">
        <f>SUM(G550+G513+G406+G586)</f>
        <v>6567</v>
      </c>
      <c r="H621" s="736">
        <f t="shared" si="22"/>
        <v>1.24375</v>
      </c>
    </row>
    <row r="622" spans="1:8" ht="13.5" thickBot="1">
      <c r="A622" s="314"/>
      <c r="B622" s="328" t="s">
        <v>366</v>
      </c>
      <c r="C622" s="802">
        <f>SUM(C613+C616+C617+C618+C621+C619+C620+C612)</f>
        <v>334365</v>
      </c>
      <c r="D622" s="802">
        <f>SUM(D613+D616+D617+D618+D621+D619+D620+D612)</f>
        <v>334365</v>
      </c>
      <c r="E622" s="802">
        <f>SUM(E613+E616+E617+E618+E621+E619+E620+E612)</f>
        <v>334799</v>
      </c>
      <c r="F622" s="802">
        <f>SUM(F613+F616+F617+F618+F621+F619+F620+F612)</f>
        <v>341499</v>
      </c>
      <c r="G622" s="802">
        <f>SUM(G613+G616+G617+G618+G621+G619+G620+G612)</f>
        <v>381403</v>
      </c>
      <c r="H622" s="832">
        <f t="shared" si="22"/>
        <v>1.1168495368946907</v>
      </c>
    </row>
    <row r="623" spans="1:8" ht="13.5" thickBot="1">
      <c r="A623" s="314"/>
      <c r="B623" s="147" t="s">
        <v>240</v>
      </c>
      <c r="C623" s="802"/>
      <c r="D623" s="802"/>
      <c r="E623" s="802"/>
      <c r="F623" s="1178">
        <f>F408+F515+F552+F588</f>
        <v>1084</v>
      </c>
      <c r="G623" s="1178">
        <f>G408+G515+G552+G588</f>
        <v>1084</v>
      </c>
      <c r="H623" s="831">
        <f t="shared" si="22"/>
        <v>1</v>
      </c>
    </row>
    <row r="624" spans="1:8" ht="13.5" thickBot="1">
      <c r="A624" s="314"/>
      <c r="B624" s="587" t="s">
        <v>241</v>
      </c>
      <c r="C624" s="802">
        <f>SUM(C553)</f>
        <v>0</v>
      </c>
      <c r="D624" s="802">
        <f>SUM(D553)</f>
        <v>0</v>
      </c>
      <c r="E624" s="802">
        <f>SUM(E553)</f>
        <v>0</v>
      </c>
      <c r="F624" s="802">
        <f>F623</f>
        <v>1084</v>
      </c>
      <c r="G624" s="802">
        <f>G623</f>
        <v>1084</v>
      </c>
      <c r="H624" s="832">
        <f t="shared" si="22"/>
        <v>1</v>
      </c>
    </row>
    <row r="625" spans="1:8" ht="13.5" thickBot="1">
      <c r="A625" s="314"/>
      <c r="B625" s="331" t="s">
        <v>72</v>
      </c>
      <c r="C625" s="807">
        <f>SUM(C622+C611+C624)</f>
        <v>343177</v>
      </c>
      <c r="D625" s="807">
        <f>SUM(D622+D611+D624)</f>
        <v>344527</v>
      </c>
      <c r="E625" s="807">
        <f>SUM(E622+E611+E624)</f>
        <v>348217</v>
      </c>
      <c r="F625" s="807">
        <f>SUM(F622+F611+F624)</f>
        <v>376725</v>
      </c>
      <c r="G625" s="807">
        <f>SUM(G622+G611+G624)</f>
        <v>427422</v>
      </c>
      <c r="H625" s="832">
        <f t="shared" si="22"/>
        <v>1.134572964363926</v>
      </c>
    </row>
    <row r="626" spans="1:8" ht="12.75">
      <c r="A626" s="314"/>
      <c r="B626" s="827" t="s">
        <v>514</v>
      </c>
      <c r="C626" s="797">
        <f>SUM(C411)</f>
        <v>0</v>
      </c>
      <c r="D626" s="797">
        <f>SUM(D411)</f>
        <v>0</v>
      </c>
      <c r="E626" s="797">
        <f>SUM(E411)</f>
        <v>1885</v>
      </c>
      <c r="F626" s="797">
        <f>SUM(F411)</f>
        <v>1885</v>
      </c>
      <c r="G626" s="797">
        <f>SUM(G411)</f>
        <v>1885</v>
      </c>
      <c r="H626" s="321">
        <f t="shared" si="22"/>
        <v>1</v>
      </c>
    </row>
    <row r="627" spans="1:8" ht="13.5" thickBot="1">
      <c r="A627" s="314"/>
      <c r="B627" s="147" t="s">
        <v>257</v>
      </c>
      <c r="C627" s="795">
        <f>SUM(C555+C412)</f>
        <v>0</v>
      </c>
      <c r="D627" s="795">
        <f>SUM(D555+D412)</f>
        <v>0</v>
      </c>
      <c r="E627" s="795">
        <f>SUM(E555+E412)</f>
        <v>0</v>
      </c>
      <c r="F627" s="795">
        <f>SUM(F555+F412)</f>
        <v>0</v>
      </c>
      <c r="G627" s="795">
        <f>SUM(G555+G412)</f>
        <v>0</v>
      </c>
      <c r="H627" s="736"/>
    </row>
    <row r="628" spans="1:8" ht="13.5" thickBot="1">
      <c r="A628" s="314"/>
      <c r="B628" s="333" t="s">
        <v>73</v>
      </c>
      <c r="C628" s="819">
        <f>SUM(C626+C627)</f>
        <v>0</v>
      </c>
      <c r="D628" s="819">
        <f>SUM(D626+D627)</f>
        <v>0</v>
      </c>
      <c r="E628" s="819">
        <f>SUM(E626+E627)</f>
        <v>1885</v>
      </c>
      <c r="F628" s="819">
        <f>SUM(F626+F627)</f>
        <v>1885</v>
      </c>
      <c r="G628" s="819">
        <f>SUM(G626+G627)</f>
        <v>1885</v>
      </c>
      <c r="H628" s="832">
        <f t="shared" si="22"/>
        <v>1</v>
      </c>
    </row>
    <row r="629" spans="1:8" ht="12.75">
      <c r="A629" s="314"/>
      <c r="B629" s="785" t="s">
        <v>470</v>
      </c>
      <c r="C629" s="565">
        <f>SUM(C557+C519+C414)</f>
        <v>0</v>
      </c>
      <c r="D629" s="565">
        <f>SUM(D557+D519+D414)</f>
        <v>31711</v>
      </c>
      <c r="E629" s="565">
        <f>SUM(E557+E519+E414)</f>
        <v>31711</v>
      </c>
      <c r="F629" s="565">
        <f>SUM(F557+F519+F414)</f>
        <v>31711</v>
      </c>
      <c r="G629" s="565">
        <f>SUM(G557+G519+G414)</f>
        <v>31711</v>
      </c>
      <c r="H629" s="321">
        <f t="shared" si="22"/>
        <v>1</v>
      </c>
    </row>
    <row r="630" spans="1:8" ht="12.75">
      <c r="A630" s="314"/>
      <c r="B630" s="335" t="s">
        <v>507</v>
      </c>
      <c r="C630" s="564">
        <f>SUM(C558+C520+C415+C594)</f>
        <v>3589088</v>
      </c>
      <c r="D630" s="564">
        <f>SUM(D558+D520+D415+D594)</f>
        <v>3723711</v>
      </c>
      <c r="E630" s="564">
        <f>SUM(E558+E520+E415+E594)</f>
        <v>3770522</v>
      </c>
      <c r="F630" s="564">
        <f>SUM(F558+F520+F415+F594)</f>
        <v>3783121</v>
      </c>
      <c r="G630" s="564">
        <f>SUM(G558+G520+G415+G594)</f>
        <v>3783851</v>
      </c>
      <c r="H630" s="321">
        <f t="shared" si="22"/>
        <v>1.0001929623715446</v>
      </c>
    </row>
    <row r="631" spans="1:8" ht="13.5" thickBot="1">
      <c r="A631" s="314"/>
      <c r="B631" s="336" t="s">
        <v>510</v>
      </c>
      <c r="C631" s="801">
        <f>SUM(C521+C416)</f>
        <v>389568</v>
      </c>
      <c r="D631" s="801">
        <f>SUM(D521+D416)</f>
        <v>389568</v>
      </c>
      <c r="E631" s="801">
        <f>SUM(E521+E416)</f>
        <v>396950</v>
      </c>
      <c r="F631" s="801">
        <f>SUM(F521+F416)</f>
        <v>396950</v>
      </c>
      <c r="G631" s="801">
        <f>SUM(G521+G416)</f>
        <v>396950</v>
      </c>
      <c r="H631" s="736">
        <f t="shared" si="22"/>
        <v>1</v>
      </c>
    </row>
    <row r="632" spans="1:8" ht="13.5" thickBot="1">
      <c r="A632" s="314"/>
      <c r="B632" s="337" t="s">
        <v>66</v>
      </c>
      <c r="C632" s="799">
        <f>SUM(C629:C631)</f>
        <v>3978656</v>
      </c>
      <c r="D632" s="799">
        <f>SUM(D629:D631)</f>
        <v>4144990</v>
      </c>
      <c r="E632" s="799">
        <f>SUM(E629:E631)</f>
        <v>4199183</v>
      </c>
      <c r="F632" s="799">
        <f>SUM(F629:F631)</f>
        <v>4211782</v>
      </c>
      <c r="G632" s="799">
        <f>SUM(G629:G631)</f>
        <v>4212512</v>
      </c>
      <c r="H632" s="830">
        <f t="shared" si="22"/>
        <v>1.0001733233106558</v>
      </c>
    </row>
    <row r="633" spans="1:8" ht="13.5" thickBot="1">
      <c r="A633" s="314"/>
      <c r="B633" s="249" t="s">
        <v>470</v>
      </c>
      <c r="C633" s="795">
        <f>SUM(C419)</f>
        <v>0</v>
      </c>
      <c r="D633" s="795">
        <f>SUM(D524)</f>
        <v>524</v>
      </c>
      <c r="E633" s="795">
        <f>SUM(E524)</f>
        <v>524</v>
      </c>
      <c r="F633" s="795">
        <f>SUM(F524)</f>
        <v>524</v>
      </c>
      <c r="G633" s="795">
        <f>SUM(G524)</f>
        <v>524</v>
      </c>
      <c r="H633" s="831">
        <f t="shared" si="22"/>
        <v>1</v>
      </c>
    </row>
    <row r="634" spans="1:8" ht="13.5" thickBot="1">
      <c r="A634" s="314"/>
      <c r="B634" s="337" t="s">
        <v>68</v>
      </c>
      <c r="C634" s="799">
        <f>SUM(C633)</f>
        <v>0</v>
      </c>
      <c r="D634" s="799">
        <f>SUM(D633)</f>
        <v>524</v>
      </c>
      <c r="E634" s="799">
        <f>SUM(E633)</f>
        <v>524</v>
      </c>
      <c r="F634" s="799">
        <f>SUM(F633)</f>
        <v>524</v>
      </c>
      <c r="G634" s="799">
        <f>SUM(G633)</f>
        <v>524</v>
      </c>
      <c r="H634" s="832">
        <f t="shared" si="22"/>
        <v>1</v>
      </c>
    </row>
    <row r="635" spans="1:8" ht="15.75" thickBot="1">
      <c r="A635" s="314"/>
      <c r="B635" s="339" t="s">
        <v>80</v>
      </c>
      <c r="C635" s="800">
        <f>SUM(C625+C628+C632+C634)</f>
        <v>4321833</v>
      </c>
      <c r="D635" s="800">
        <f>SUM(D625+D628+D632+D634)</f>
        <v>4490041</v>
      </c>
      <c r="E635" s="800">
        <f>SUM(E625+E628+E632+E634)</f>
        <v>4549809</v>
      </c>
      <c r="F635" s="800">
        <f>SUM(F625+F628+F632+F634)</f>
        <v>4590916</v>
      </c>
      <c r="G635" s="800">
        <f>SUM(G625+G628+G632+G634)</f>
        <v>4642343</v>
      </c>
      <c r="H635" s="832">
        <f t="shared" si="22"/>
        <v>1.0112019039337683</v>
      </c>
    </row>
    <row r="636" spans="1:8" ht="12.75">
      <c r="A636" s="314"/>
      <c r="B636" s="340" t="s">
        <v>344</v>
      </c>
      <c r="C636" s="564">
        <f aca="true" t="shared" si="26" ref="C636:F638">SUM(C561+C526+C421+C597)</f>
        <v>2238973</v>
      </c>
      <c r="D636" s="564">
        <f t="shared" si="26"/>
        <v>2302350</v>
      </c>
      <c r="E636" s="564">
        <f t="shared" si="26"/>
        <v>2304689</v>
      </c>
      <c r="F636" s="564">
        <f t="shared" si="26"/>
        <v>2324473</v>
      </c>
      <c r="G636" s="564">
        <f>SUM(G561+G526+G421+G597)</f>
        <v>2303984</v>
      </c>
      <c r="H636" s="321">
        <f t="shared" si="22"/>
        <v>0.9911855289349457</v>
      </c>
    </row>
    <row r="637" spans="1:8" ht="12.75">
      <c r="A637" s="314"/>
      <c r="B637" s="340" t="s">
        <v>345</v>
      </c>
      <c r="C637" s="564">
        <f t="shared" si="26"/>
        <v>485229</v>
      </c>
      <c r="D637" s="564">
        <f t="shared" si="26"/>
        <v>498285</v>
      </c>
      <c r="E637" s="564">
        <f t="shared" si="26"/>
        <v>500377</v>
      </c>
      <c r="F637" s="564">
        <f t="shared" si="26"/>
        <v>506002</v>
      </c>
      <c r="G637" s="564">
        <f>SUM(G562+G527+G422+G598)</f>
        <v>503618</v>
      </c>
      <c r="H637" s="321">
        <f t="shared" si="22"/>
        <v>0.9952885561717147</v>
      </c>
    </row>
    <row r="638" spans="1:8" ht="12.75">
      <c r="A638" s="314"/>
      <c r="B638" s="340" t="s">
        <v>346</v>
      </c>
      <c r="C638" s="564">
        <f t="shared" si="26"/>
        <v>1533500</v>
      </c>
      <c r="D638" s="564">
        <f t="shared" si="26"/>
        <v>1620592</v>
      </c>
      <c r="E638" s="564">
        <f t="shared" si="26"/>
        <v>1668853</v>
      </c>
      <c r="F638" s="564">
        <f t="shared" si="26"/>
        <v>1663997</v>
      </c>
      <c r="G638" s="564">
        <f>SUM(G563+G528+G423+G599)</f>
        <v>1737636</v>
      </c>
      <c r="H638" s="321">
        <f t="shared" si="22"/>
        <v>1.0442542865161415</v>
      </c>
    </row>
    <row r="639" spans="1:8" ht="12.75">
      <c r="A639" s="314"/>
      <c r="B639" s="341" t="s">
        <v>348</v>
      </c>
      <c r="C639" s="564">
        <f>SUM(C493)</f>
        <v>600</v>
      </c>
      <c r="D639" s="564">
        <f>SUM(D493)</f>
        <v>600</v>
      </c>
      <c r="E639" s="564">
        <f>SUM(E493)</f>
        <v>600</v>
      </c>
      <c r="F639" s="564">
        <f>SUM(F493)</f>
        <v>600</v>
      </c>
      <c r="G639" s="564">
        <f>SUM(G493)</f>
        <v>600</v>
      </c>
      <c r="H639" s="321">
        <f t="shared" si="22"/>
        <v>1</v>
      </c>
    </row>
    <row r="640" spans="1:8" ht="13.5" thickBot="1">
      <c r="A640" s="314"/>
      <c r="B640" s="342" t="s">
        <v>347</v>
      </c>
      <c r="C640" s="564">
        <f>SUM(C565+C530+C425)</f>
        <v>0</v>
      </c>
      <c r="D640" s="564">
        <f>SUM(D565+D530+D425)</f>
        <v>0</v>
      </c>
      <c r="E640" s="564">
        <f>SUM(E565+E530+E425)</f>
        <v>7</v>
      </c>
      <c r="F640" s="564">
        <f>SUM(F565+F530+F425)</f>
        <v>76</v>
      </c>
      <c r="G640" s="564">
        <f>SUM(G565+G530+G425)</f>
        <v>76</v>
      </c>
      <c r="H640" s="736">
        <f t="shared" si="22"/>
        <v>1</v>
      </c>
    </row>
    <row r="641" spans="1:8" ht="13.5" thickBot="1">
      <c r="A641" s="314"/>
      <c r="B641" s="343" t="s">
        <v>65</v>
      </c>
      <c r="C641" s="802">
        <f>SUM(C636:C640)</f>
        <v>4258302</v>
      </c>
      <c r="D641" s="802">
        <f>SUM(D636:D640)</f>
        <v>4421827</v>
      </c>
      <c r="E641" s="802">
        <f>SUM(E636:E640)</f>
        <v>4474526</v>
      </c>
      <c r="F641" s="802">
        <f>SUM(F636:F640)</f>
        <v>4495148</v>
      </c>
      <c r="G641" s="802">
        <f>SUM(G636:G640)</f>
        <v>4545914</v>
      </c>
      <c r="H641" s="832">
        <f t="shared" si="22"/>
        <v>1.0112935102470486</v>
      </c>
    </row>
    <row r="642" spans="1:8" ht="12.75">
      <c r="A642" s="314"/>
      <c r="B642" s="340" t="s">
        <v>264</v>
      </c>
      <c r="C642" s="564">
        <f>SUM(C427+C532+C569+C603)</f>
        <v>63531</v>
      </c>
      <c r="D642" s="564">
        <f>SUM(D427+D532+D569+D603)</f>
        <v>68214</v>
      </c>
      <c r="E642" s="564">
        <f>SUM(E427+E532+E569+E603)</f>
        <v>75283</v>
      </c>
      <c r="F642" s="564">
        <f>SUM(F427+F532+F569+F603)</f>
        <v>95768</v>
      </c>
      <c r="G642" s="564">
        <f>SUM(G427+G532+G569+G603)</f>
        <v>96429</v>
      </c>
      <c r="H642" s="321">
        <f t="shared" si="22"/>
        <v>1.0069020967337732</v>
      </c>
    </row>
    <row r="643" spans="1:8" ht="12.75">
      <c r="A643" s="314"/>
      <c r="B643" s="340" t="s">
        <v>265</v>
      </c>
      <c r="C643" s="564">
        <f>SUM(C570+C533+C428)</f>
        <v>0</v>
      </c>
      <c r="D643" s="564">
        <f>SUM(D570+D533+D428)</f>
        <v>0</v>
      </c>
      <c r="E643" s="564">
        <f>SUM(E570+E533+E428)</f>
        <v>0</v>
      </c>
      <c r="F643" s="564">
        <f>SUM(F570+F533+F428)</f>
        <v>0</v>
      </c>
      <c r="G643" s="564">
        <f>SUM(G570+G533+G428)</f>
        <v>0</v>
      </c>
      <c r="H643" s="321"/>
    </row>
    <row r="644" spans="1:8" ht="13.5" thickBot="1">
      <c r="A644" s="314"/>
      <c r="B644" s="342" t="s">
        <v>479</v>
      </c>
      <c r="C644" s="801"/>
      <c r="D644" s="801"/>
      <c r="E644" s="801"/>
      <c r="F644" s="801"/>
      <c r="G644" s="801"/>
      <c r="H644" s="736"/>
    </row>
    <row r="645" spans="1:8" ht="13.5" thickBot="1">
      <c r="A645" s="314"/>
      <c r="B645" s="344" t="s">
        <v>71</v>
      </c>
      <c r="C645" s="802">
        <f>SUM(C642:C644)</f>
        <v>63531</v>
      </c>
      <c r="D645" s="802">
        <f>SUM(D642:D644)</f>
        <v>68214</v>
      </c>
      <c r="E645" s="802">
        <f>SUM(E642:E644)</f>
        <v>75283</v>
      </c>
      <c r="F645" s="802">
        <f>SUM(F642:F644)</f>
        <v>95768</v>
      </c>
      <c r="G645" s="802">
        <f>SUM(G642:G644)</f>
        <v>96429</v>
      </c>
      <c r="H645" s="832">
        <f t="shared" si="22"/>
        <v>1.0069020967337732</v>
      </c>
    </row>
    <row r="646" spans="1:10" ht="15.75" thickBot="1">
      <c r="A646" s="311"/>
      <c r="B646" s="345" t="s">
        <v>117</v>
      </c>
      <c r="C646" s="800">
        <f>SUM(C641+C645)</f>
        <v>4321833</v>
      </c>
      <c r="D646" s="800">
        <f>SUM(D641+D645)</f>
        <v>4490041</v>
      </c>
      <c r="E646" s="800">
        <f>SUM(E641+E645)</f>
        <v>4549809</v>
      </c>
      <c r="F646" s="800">
        <f>SUM(F641+F645)</f>
        <v>4590916</v>
      </c>
      <c r="G646" s="800">
        <f>SUM(G641+G645)</f>
        <v>4642343</v>
      </c>
      <c r="H646" s="1202">
        <f t="shared" si="22"/>
        <v>1.0112019039337683</v>
      </c>
      <c r="J646" s="829"/>
    </row>
  </sheetData>
  <sheetProtection/>
  <mergeCells count="10">
    <mergeCell ref="A2:H2"/>
    <mergeCell ref="H5:H7"/>
    <mergeCell ref="A1:H1"/>
    <mergeCell ref="B5:B7"/>
    <mergeCell ref="A5:A7"/>
    <mergeCell ref="C5:C7"/>
    <mergeCell ref="D5:D7"/>
    <mergeCell ref="E5:E7"/>
    <mergeCell ref="F5:F7"/>
    <mergeCell ref="G5:G7"/>
  </mergeCells>
  <printOptions horizontalCentered="1" verticalCentered="1"/>
  <pageMargins left="0" right="0" top="0.7874015748031497" bottom="0.5905511811023623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9" max="255" man="1"/>
    <brk id="150" max="255" man="1"/>
    <brk id="218" max="255" man="1"/>
    <brk id="288" max="255" man="1"/>
    <brk id="359" max="255" man="1"/>
    <brk id="431" max="255" man="1"/>
    <brk id="500" max="255" man="1"/>
    <brk id="57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showZeros="0" zoomScalePageLayoutView="0" workbookViewId="0" topLeftCell="A22">
      <selection activeCell="H62" sqref="H62"/>
    </sheetView>
  </sheetViews>
  <sheetFormatPr defaultColWidth="9.00390625" defaultRowHeight="12.75"/>
  <cols>
    <col min="1" max="1" width="6.875" style="354" customWidth="1"/>
    <col min="2" max="2" width="50.125" style="351" customWidth="1"/>
    <col min="3" max="7" width="13.875" style="351" customWidth="1"/>
    <col min="8" max="8" width="8.875" style="351" customWidth="1"/>
    <col min="9" max="16384" width="9.125" style="351" customWidth="1"/>
  </cols>
  <sheetData>
    <row r="1" spans="1:8" ht="12">
      <c r="A1" s="1291" t="s">
        <v>336</v>
      </c>
      <c r="B1" s="1292"/>
      <c r="C1" s="1293"/>
      <c r="D1" s="1293"/>
      <c r="E1" s="1293"/>
      <c r="F1" s="1293"/>
      <c r="G1" s="1293"/>
      <c r="H1" s="1293"/>
    </row>
    <row r="2" spans="1:8" ht="12.75">
      <c r="A2" s="1291" t="s">
        <v>1073</v>
      </c>
      <c r="B2" s="1292"/>
      <c r="C2" s="1293"/>
      <c r="D2" s="1293"/>
      <c r="E2" s="1293"/>
      <c r="F2" s="1293"/>
      <c r="G2" s="1293"/>
      <c r="H2" s="1293"/>
    </row>
    <row r="3" spans="1:2" s="353" customFormat="1" ht="11.25" customHeight="1">
      <c r="A3" s="352"/>
      <c r="B3" s="352"/>
    </row>
    <row r="4" spans="3:8" ht="11.25" customHeight="1">
      <c r="C4" s="355"/>
      <c r="D4" s="355"/>
      <c r="E4" s="355"/>
      <c r="F4" s="355"/>
      <c r="G4" s="355"/>
      <c r="H4" s="355" t="s">
        <v>191</v>
      </c>
    </row>
    <row r="5" spans="1:8" s="358" customFormat="1" ht="11.25" customHeight="1">
      <c r="A5" s="356"/>
      <c r="B5" s="357"/>
      <c r="C5" s="1286" t="s">
        <v>1130</v>
      </c>
      <c r="D5" s="1286" t="s">
        <v>1187</v>
      </c>
      <c r="E5" s="1286" t="s">
        <v>1203</v>
      </c>
      <c r="F5" s="1286" t="s">
        <v>1224</v>
      </c>
      <c r="G5" s="1286" t="s">
        <v>1229</v>
      </c>
      <c r="H5" s="1289" t="s">
        <v>1233</v>
      </c>
    </row>
    <row r="6" spans="1:8" s="358" customFormat="1" ht="12" customHeight="1">
      <c r="A6" s="359" t="s">
        <v>293</v>
      </c>
      <c r="B6" s="360" t="s">
        <v>306</v>
      </c>
      <c r="C6" s="1287"/>
      <c r="D6" s="1287"/>
      <c r="E6" s="1287"/>
      <c r="F6" s="1287"/>
      <c r="G6" s="1287"/>
      <c r="H6" s="1289"/>
    </row>
    <row r="7" spans="1:8" s="358" customFormat="1" ht="12.75" customHeight="1" thickBot="1">
      <c r="A7" s="361"/>
      <c r="B7" s="362"/>
      <c r="C7" s="1294"/>
      <c r="D7" s="1294"/>
      <c r="E7" s="1294"/>
      <c r="F7" s="1294"/>
      <c r="G7" s="1294"/>
      <c r="H7" s="1290"/>
    </row>
    <row r="8" spans="1:8" s="358" customFormat="1" ht="12" customHeight="1">
      <c r="A8" s="363" t="s">
        <v>172</v>
      </c>
      <c r="B8" s="364" t="s">
        <v>173</v>
      </c>
      <c r="C8" s="365" t="s">
        <v>174</v>
      </c>
      <c r="D8" s="365" t="s">
        <v>175</v>
      </c>
      <c r="E8" s="365" t="s">
        <v>176</v>
      </c>
      <c r="F8" s="365" t="s">
        <v>47</v>
      </c>
      <c r="G8" s="365" t="s">
        <v>386</v>
      </c>
      <c r="H8" s="365" t="s">
        <v>618</v>
      </c>
    </row>
    <row r="9" spans="1:8" ht="12" customHeight="1">
      <c r="A9" s="356">
        <v>3010</v>
      </c>
      <c r="B9" s="366" t="s">
        <v>55</v>
      </c>
      <c r="C9" s="367">
        <f>SUM(C19)</f>
        <v>8720</v>
      </c>
      <c r="D9" s="367">
        <f>SUM(D19)</f>
        <v>8778</v>
      </c>
      <c r="E9" s="367">
        <f>SUM(E19)</f>
        <v>8778</v>
      </c>
      <c r="F9" s="367">
        <f>SUM(F19)</f>
        <v>8778</v>
      </c>
      <c r="G9" s="367">
        <f>SUM(G19)</f>
        <v>8844</v>
      </c>
      <c r="H9" s="368">
        <f>SUM(G9/F9)</f>
        <v>1.0075187969924813</v>
      </c>
    </row>
    <row r="10" spans="1:8" ht="12" customHeight="1">
      <c r="A10" s="74">
        <v>3011</v>
      </c>
      <c r="B10" s="369" t="s">
        <v>119</v>
      </c>
      <c r="C10" s="367"/>
      <c r="D10" s="367"/>
      <c r="E10" s="367"/>
      <c r="F10" s="367"/>
      <c r="G10" s="367"/>
      <c r="H10" s="368"/>
    </row>
    <row r="11" spans="1:8" ht="12" customHeight="1">
      <c r="A11" s="370"/>
      <c r="B11" s="371" t="s">
        <v>120</v>
      </c>
      <c r="C11" s="298">
        <v>2400</v>
      </c>
      <c r="D11" s="298">
        <v>2401</v>
      </c>
      <c r="E11" s="298">
        <v>2401</v>
      </c>
      <c r="F11" s="298">
        <v>2401</v>
      </c>
      <c r="G11" s="1216">
        <v>2467</v>
      </c>
      <c r="H11" s="850">
        <f aca="true" t="shared" si="0" ref="H11:H65">SUM(G11/F11)</f>
        <v>1.0274885464389838</v>
      </c>
    </row>
    <row r="12" spans="1:8" ht="12" customHeight="1">
      <c r="A12" s="370"/>
      <c r="B12" s="182" t="s">
        <v>314</v>
      </c>
      <c r="C12" s="298">
        <v>520</v>
      </c>
      <c r="D12" s="298">
        <v>577</v>
      </c>
      <c r="E12" s="298">
        <v>577</v>
      </c>
      <c r="F12" s="298">
        <v>577</v>
      </c>
      <c r="G12" s="298">
        <v>577</v>
      </c>
      <c r="H12" s="850">
        <f t="shared" si="0"/>
        <v>1</v>
      </c>
    </row>
    <row r="13" spans="1:8" ht="12" customHeight="1">
      <c r="A13" s="292"/>
      <c r="B13" s="372" t="s">
        <v>299</v>
      </c>
      <c r="C13" s="298">
        <v>4800</v>
      </c>
      <c r="D13" s="298">
        <v>4800</v>
      </c>
      <c r="E13" s="298">
        <v>4800</v>
      </c>
      <c r="F13" s="298">
        <v>4800</v>
      </c>
      <c r="G13" s="298">
        <v>4800</v>
      </c>
      <c r="H13" s="850">
        <f t="shared" si="0"/>
        <v>1</v>
      </c>
    </row>
    <row r="14" spans="1:8" ht="12" customHeight="1">
      <c r="A14" s="370"/>
      <c r="B14" s="299" t="s">
        <v>125</v>
      </c>
      <c r="C14" s="298"/>
      <c r="D14" s="298"/>
      <c r="E14" s="298"/>
      <c r="F14" s="298"/>
      <c r="G14" s="298"/>
      <c r="H14" s="850"/>
    </row>
    <row r="15" spans="1:8" ht="12" customHeight="1">
      <c r="A15" s="370"/>
      <c r="B15" s="182" t="s">
        <v>308</v>
      </c>
      <c r="C15" s="373"/>
      <c r="D15" s="373"/>
      <c r="E15" s="373"/>
      <c r="F15" s="373"/>
      <c r="G15" s="373"/>
      <c r="H15" s="850"/>
    </row>
    <row r="16" spans="1:8" ht="12" customHeight="1">
      <c r="A16" s="292"/>
      <c r="B16" s="371" t="s">
        <v>266</v>
      </c>
      <c r="C16" s="298">
        <v>1000</v>
      </c>
      <c r="D16" s="298">
        <v>1000</v>
      </c>
      <c r="E16" s="298">
        <v>1000</v>
      </c>
      <c r="F16" s="298">
        <v>1000</v>
      </c>
      <c r="G16" s="298">
        <v>1000</v>
      </c>
      <c r="H16" s="850">
        <f t="shared" si="0"/>
        <v>1</v>
      </c>
    </row>
    <row r="17" spans="1:8" ht="12" customHeight="1">
      <c r="A17" s="292"/>
      <c r="B17" s="73" t="s">
        <v>267</v>
      </c>
      <c r="C17" s="373"/>
      <c r="D17" s="373"/>
      <c r="E17" s="373"/>
      <c r="F17" s="373"/>
      <c r="G17" s="373"/>
      <c r="H17" s="368"/>
    </row>
    <row r="18" spans="1:8" ht="12" customHeight="1" thickBot="1">
      <c r="A18" s="370"/>
      <c r="B18" s="374" t="s">
        <v>286</v>
      </c>
      <c r="C18" s="375"/>
      <c r="D18" s="375"/>
      <c r="E18" s="375"/>
      <c r="F18" s="375"/>
      <c r="G18" s="375"/>
      <c r="H18" s="844"/>
    </row>
    <row r="19" spans="1:8" ht="12" customHeight="1" thickBot="1">
      <c r="A19" s="361"/>
      <c r="B19" s="376" t="s">
        <v>291</v>
      </c>
      <c r="C19" s="377">
        <f>SUM(C11:C18)</f>
        <v>8720</v>
      </c>
      <c r="D19" s="377">
        <f>SUM(D11:D18)</f>
        <v>8778</v>
      </c>
      <c r="E19" s="377">
        <f>SUM(E11:E18)</f>
        <v>8778</v>
      </c>
      <c r="F19" s="377">
        <f>SUM(F11:F18)</f>
        <v>8778</v>
      </c>
      <c r="G19" s="377">
        <f>SUM(G11:G18)</f>
        <v>8844</v>
      </c>
      <c r="H19" s="851">
        <f t="shared" si="0"/>
        <v>1.0075187969924813</v>
      </c>
    </row>
    <row r="20" spans="1:8" s="358" customFormat="1" ht="12" customHeight="1">
      <c r="A20" s="378">
        <v>3020</v>
      </c>
      <c r="B20" s="212" t="s">
        <v>96</v>
      </c>
      <c r="C20" s="379">
        <f>SUM(C30+C50)</f>
        <v>1904940</v>
      </c>
      <c r="D20" s="379">
        <f>SUM(D30+D50)</f>
        <v>2091631</v>
      </c>
      <c r="E20" s="379">
        <f>SUM(E30+E50)</f>
        <v>2097283</v>
      </c>
      <c r="F20" s="379">
        <f>SUM(F30+F50)</f>
        <v>2097481</v>
      </c>
      <c r="G20" s="379">
        <f>SUM(G30+G50)</f>
        <v>2093712</v>
      </c>
      <c r="H20" s="843">
        <f t="shared" si="0"/>
        <v>0.9982030826500932</v>
      </c>
    </row>
    <row r="21" spans="1:8" s="358" customFormat="1" ht="12" customHeight="1">
      <c r="A21" s="359">
        <v>3021</v>
      </c>
      <c r="B21" s="380" t="s">
        <v>382</v>
      </c>
      <c r="C21" s="367"/>
      <c r="D21" s="367"/>
      <c r="E21" s="367"/>
      <c r="F21" s="367"/>
      <c r="G21" s="367"/>
      <c r="H21" s="368"/>
    </row>
    <row r="22" spans="1:8" ht="12" customHeight="1">
      <c r="A22" s="370"/>
      <c r="B22" s="371" t="s">
        <v>120</v>
      </c>
      <c r="C22" s="298">
        <v>1227804</v>
      </c>
      <c r="D22" s="298">
        <v>1268432</v>
      </c>
      <c r="E22" s="298">
        <v>1270615</v>
      </c>
      <c r="F22" s="298">
        <v>1264781</v>
      </c>
      <c r="G22" s="1216">
        <v>1264879</v>
      </c>
      <c r="H22" s="850">
        <f t="shared" si="0"/>
        <v>1.0000774837699176</v>
      </c>
    </row>
    <row r="23" spans="1:8" ht="12" customHeight="1">
      <c r="A23" s="370"/>
      <c r="B23" s="182" t="s">
        <v>314</v>
      </c>
      <c r="C23" s="298">
        <v>264151</v>
      </c>
      <c r="D23" s="298">
        <v>297945</v>
      </c>
      <c r="E23" s="298">
        <v>298078</v>
      </c>
      <c r="F23" s="298">
        <v>304110</v>
      </c>
      <c r="G23" s="298">
        <v>304142</v>
      </c>
      <c r="H23" s="850">
        <f t="shared" si="0"/>
        <v>1.0001052250830291</v>
      </c>
    </row>
    <row r="24" spans="1:8" ht="12" customHeight="1">
      <c r="A24" s="292"/>
      <c r="B24" s="372" t="s">
        <v>299</v>
      </c>
      <c r="C24" s="298">
        <v>235000</v>
      </c>
      <c r="D24" s="298">
        <v>280170</v>
      </c>
      <c r="E24" s="298">
        <v>283506</v>
      </c>
      <c r="F24" s="298">
        <v>283506</v>
      </c>
      <c r="G24" s="298">
        <v>280070</v>
      </c>
      <c r="H24" s="850">
        <f t="shared" si="0"/>
        <v>0.9878803270477521</v>
      </c>
    </row>
    <row r="25" spans="1:8" ht="12" customHeight="1">
      <c r="A25" s="370"/>
      <c r="B25" s="299" t="s">
        <v>125</v>
      </c>
      <c r="C25" s="298"/>
      <c r="D25" s="298"/>
      <c r="E25" s="298"/>
      <c r="F25" s="298"/>
      <c r="G25" s="298"/>
      <c r="H25" s="850"/>
    </row>
    <row r="26" spans="1:8" ht="12" customHeight="1">
      <c r="A26" s="370"/>
      <c r="B26" s="182" t="s">
        <v>308</v>
      </c>
      <c r="C26" s="298"/>
      <c r="D26" s="298"/>
      <c r="E26" s="298"/>
      <c r="F26" s="298"/>
      <c r="G26" s="298"/>
      <c r="H26" s="850"/>
    </row>
    <row r="27" spans="1:8" ht="12" customHeight="1">
      <c r="A27" s="292"/>
      <c r="B27" s="371" t="s">
        <v>266</v>
      </c>
      <c r="C27" s="373">
        <v>43500</v>
      </c>
      <c r="D27" s="373">
        <v>73687</v>
      </c>
      <c r="E27" s="373">
        <v>73687</v>
      </c>
      <c r="F27" s="373">
        <v>73687</v>
      </c>
      <c r="G27" s="373">
        <v>73687</v>
      </c>
      <c r="H27" s="850">
        <f t="shared" si="0"/>
        <v>1</v>
      </c>
    </row>
    <row r="28" spans="1:8" ht="12" customHeight="1">
      <c r="A28" s="292"/>
      <c r="B28" s="73" t="s">
        <v>267</v>
      </c>
      <c r="C28" s="373"/>
      <c r="D28" s="373"/>
      <c r="E28" s="373"/>
      <c r="F28" s="373"/>
      <c r="G28" s="373"/>
      <c r="H28" s="850"/>
    </row>
    <row r="29" spans="1:8" ht="12" customHeight="1" thickBot="1">
      <c r="A29" s="370"/>
      <c r="B29" s="374" t="s">
        <v>480</v>
      </c>
      <c r="C29" s="375">
        <v>10000</v>
      </c>
      <c r="D29" s="375">
        <v>10000</v>
      </c>
      <c r="E29" s="375">
        <v>10000</v>
      </c>
      <c r="F29" s="375">
        <v>10000</v>
      </c>
      <c r="G29" s="375">
        <v>9537</v>
      </c>
      <c r="H29" s="1123">
        <f t="shared" si="0"/>
        <v>0.9537</v>
      </c>
    </row>
    <row r="30" spans="1:8" ht="12" customHeight="1" thickBot="1">
      <c r="A30" s="361"/>
      <c r="B30" s="376" t="s">
        <v>291</v>
      </c>
      <c r="C30" s="377">
        <f>SUM(C22:C29)</f>
        <v>1780455</v>
      </c>
      <c r="D30" s="377">
        <f>SUM(D22:D29)</f>
        <v>1930234</v>
      </c>
      <c r="E30" s="377">
        <f>SUM(E22:E29)</f>
        <v>1935886</v>
      </c>
      <c r="F30" s="377">
        <f>SUM(F22:F29)</f>
        <v>1936084</v>
      </c>
      <c r="G30" s="377">
        <f>SUM(G22:G29)</f>
        <v>1932315</v>
      </c>
      <c r="H30" s="851">
        <f t="shared" si="0"/>
        <v>0.9980532869441615</v>
      </c>
    </row>
    <row r="31" spans="1:8" ht="12" customHeight="1">
      <c r="A31" s="359">
        <v>3024</v>
      </c>
      <c r="B31" s="380" t="s">
        <v>253</v>
      </c>
      <c r="C31" s="367"/>
      <c r="D31" s="367"/>
      <c r="E31" s="367"/>
      <c r="F31" s="367"/>
      <c r="G31" s="367"/>
      <c r="H31" s="843"/>
    </row>
    <row r="32" spans="1:8" ht="12" customHeight="1">
      <c r="A32" s="370"/>
      <c r="B32" s="371" t="s">
        <v>120</v>
      </c>
      <c r="C32" s="298">
        <v>26504</v>
      </c>
      <c r="D32" s="298">
        <v>29822</v>
      </c>
      <c r="E32" s="298">
        <v>29822</v>
      </c>
      <c r="F32" s="298">
        <v>29822</v>
      </c>
      <c r="G32" s="298">
        <v>29822</v>
      </c>
      <c r="H32" s="850">
        <f t="shared" si="0"/>
        <v>1</v>
      </c>
    </row>
    <row r="33" spans="1:8" ht="12" customHeight="1">
      <c r="A33" s="370"/>
      <c r="B33" s="182" t="s">
        <v>314</v>
      </c>
      <c r="C33" s="298">
        <v>5596</v>
      </c>
      <c r="D33" s="298">
        <v>6429</v>
      </c>
      <c r="E33" s="298">
        <v>6429</v>
      </c>
      <c r="F33" s="298">
        <v>6429</v>
      </c>
      <c r="G33" s="298">
        <v>6429</v>
      </c>
      <c r="H33" s="850">
        <f t="shared" si="0"/>
        <v>1</v>
      </c>
    </row>
    <row r="34" spans="1:8" ht="12" customHeight="1">
      <c r="A34" s="292"/>
      <c r="B34" s="372" t="s">
        <v>299</v>
      </c>
      <c r="C34" s="298">
        <v>4902</v>
      </c>
      <c r="D34" s="298">
        <v>4702</v>
      </c>
      <c r="E34" s="298">
        <v>4702</v>
      </c>
      <c r="F34" s="298">
        <v>4702</v>
      </c>
      <c r="G34" s="298">
        <v>4702</v>
      </c>
      <c r="H34" s="850">
        <f t="shared" si="0"/>
        <v>1</v>
      </c>
    </row>
    <row r="35" spans="1:8" ht="12" customHeight="1">
      <c r="A35" s="370"/>
      <c r="B35" s="299" t="s">
        <v>125</v>
      </c>
      <c r="C35" s="298"/>
      <c r="D35" s="298"/>
      <c r="E35" s="298"/>
      <c r="F35" s="298"/>
      <c r="G35" s="298"/>
      <c r="H35" s="850"/>
    </row>
    <row r="36" spans="1:8" ht="12" customHeight="1">
      <c r="A36" s="370"/>
      <c r="B36" s="182" t="s">
        <v>308</v>
      </c>
      <c r="C36" s="298"/>
      <c r="D36" s="298">
        <v>576</v>
      </c>
      <c r="E36" s="298">
        <v>576</v>
      </c>
      <c r="F36" s="298">
        <v>576</v>
      </c>
      <c r="G36" s="298">
        <v>576</v>
      </c>
      <c r="H36" s="850">
        <f t="shared" si="0"/>
        <v>1</v>
      </c>
    </row>
    <row r="37" spans="1:8" ht="12" customHeight="1">
      <c r="A37" s="292"/>
      <c r="B37" s="371" t="s">
        <v>266</v>
      </c>
      <c r="C37" s="373">
        <v>670</v>
      </c>
      <c r="D37" s="373"/>
      <c r="E37" s="373"/>
      <c r="F37" s="373"/>
      <c r="G37" s="373"/>
      <c r="H37" s="368"/>
    </row>
    <row r="38" spans="1:8" ht="12" customHeight="1">
      <c r="A38" s="292"/>
      <c r="B38" s="73" t="s">
        <v>267</v>
      </c>
      <c r="C38" s="373"/>
      <c r="D38" s="373"/>
      <c r="E38" s="373"/>
      <c r="F38" s="373"/>
      <c r="G38" s="373"/>
      <c r="H38" s="368"/>
    </row>
    <row r="39" spans="1:8" ht="12" customHeight="1" thickBot="1">
      <c r="A39" s="370"/>
      <c r="B39" s="374" t="s">
        <v>480</v>
      </c>
      <c r="C39" s="375"/>
      <c r="D39" s="375"/>
      <c r="E39" s="375"/>
      <c r="F39" s="375"/>
      <c r="G39" s="375"/>
      <c r="H39" s="844"/>
    </row>
    <row r="40" spans="1:8" ht="12" customHeight="1" thickBot="1">
      <c r="A40" s="361"/>
      <c r="B40" s="376" t="s">
        <v>291</v>
      </c>
      <c r="C40" s="377">
        <f>SUM(C32:C39)</f>
        <v>37672</v>
      </c>
      <c r="D40" s="377">
        <f>SUM(D32:D39)</f>
        <v>41529</v>
      </c>
      <c r="E40" s="377">
        <f>SUM(E32:E39)</f>
        <v>41529</v>
      </c>
      <c r="F40" s="377">
        <f>SUM(F32:F39)</f>
        <v>41529</v>
      </c>
      <c r="G40" s="377">
        <f>SUM(G32:G39)</f>
        <v>41529</v>
      </c>
      <c r="H40" s="851">
        <f t="shared" si="0"/>
        <v>1</v>
      </c>
    </row>
    <row r="41" spans="1:8" ht="12" customHeight="1">
      <c r="A41" s="383">
        <v>3026</v>
      </c>
      <c r="B41" s="384" t="s">
        <v>310</v>
      </c>
      <c r="C41" s="367"/>
      <c r="D41" s="367"/>
      <c r="E41" s="367"/>
      <c r="F41" s="367"/>
      <c r="G41" s="367"/>
      <c r="H41" s="843"/>
    </row>
    <row r="42" spans="1:8" ht="12" customHeight="1">
      <c r="A42" s="74"/>
      <c r="B42" s="371" t="s">
        <v>120</v>
      </c>
      <c r="C42" s="298"/>
      <c r="D42" s="298"/>
      <c r="E42" s="298"/>
      <c r="F42" s="298"/>
      <c r="G42" s="298"/>
      <c r="H42" s="368"/>
    </row>
    <row r="43" spans="1:8" ht="12" customHeight="1">
      <c r="A43" s="74"/>
      <c r="B43" s="182" t="s">
        <v>314</v>
      </c>
      <c r="C43" s="298"/>
      <c r="D43" s="298"/>
      <c r="E43" s="298"/>
      <c r="F43" s="298"/>
      <c r="G43" s="298"/>
      <c r="H43" s="368"/>
    </row>
    <row r="44" spans="1:8" ht="12" customHeight="1">
      <c r="A44" s="74"/>
      <c r="B44" s="372" t="s">
        <v>299</v>
      </c>
      <c r="C44" s="298">
        <v>81485</v>
      </c>
      <c r="D44" s="298">
        <v>97750</v>
      </c>
      <c r="E44" s="298">
        <v>120250</v>
      </c>
      <c r="F44" s="298">
        <v>109250</v>
      </c>
      <c r="G44" s="298">
        <v>109250</v>
      </c>
      <c r="H44" s="850">
        <f t="shared" si="0"/>
        <v>1</v>
      </c>
    </row>
    <row r="45" spans="1:8" ht="12" customHeight="1">
      <c r="A45" s="74"/>
      <c r="B45" s="299" t="s">
        <v>125</v>
      </c>
      <c r="C45" s="385"/>
      <c r="D45" s="385"/>
      <c r="E45" s="385"/>
      <c r="F45" s="385"/>
      <c r="G45" s="385"/>
      <c r="H45" s="850"/>
    </row>
    <row r="46" spans="1:8" ht="12" customHeight="1">
      <c r="A46" s="74"/>
      <c r="B46" s="182" t="s">
        <v>308</v>
      </c>
      <c r="C46" s="386"/>
      <c r="D46" s="386"/>
      <c r="E46" s="386"/>
      <c r="F46" s="386"/>
      <c r="G46" s="386"/>
      <c r="H46" s="850"/>
    </row>
    <row r="47" spans="1:8" ht="12" customHeight="1">
      <c r="A47" s="74"/>
      <c r="B47" s="371" t="s">
        <v>266</v>
      </c>
      <c r="C47" s="387">
        <v>43000</v>
      </c>
      <c r="D47" s="387">
        <v>63647</v>
      </c>
      <c r="E47" s="387">
        <v>41147</v>
      </c>
      <c r="F47" s="387">
        <v>52147</v>
      </c>
      <c r="G47" s="387">
        <v>52147</v>
      </c>
      <c r="H47" s="850">
        <f t="shared" si="0"/>
        <v>1</v>
      </c>
    </row>
    <row r="48" spans="1:8" ht="12" customHeight="1">
      <c r="A48" s="74"/>
      <c r="B48" s="73" t="s">
        <v>267</v>
      </c>
      <c r="C48" s="387"/>
      <c r="D48" s="387"/>
      <c r="E48" s="387"/>
      <c r="F48" s="387"/>
      <c r="G48" s="387"/>
      <c r="H48" s="368"/>
    </row>
    <row r="49" spans="1:8" ht="12" customHeight="1" thickBot="1">
      <c r="A49" s="74"/>
      <c r="B49" s="374" t="s">
        <v>286</v>
      </c>
      <c r="C49" s="388"/>
      <c r="D49" s="388"/>
      <c r="E49" s="388"/>
      <c r="F49" s="388"/>
      <c r="G49" s="388"/>
      <c r="H49" s="844"/>
    </row>
    <row r="50" spans="1:8" ht="12" customHeight="1" thickBot="1">
      <c r="A50" s="382"/>
      <c r="B50" s="376" t="s">
        <v>291</v>
      </c>
      <c r="C50" s="377">
        <f>SUM(C41:C47)</f>
        <v>124485</v>
      </c>
      <c r="D50" s="377">
        <f>SUM(D41:D47)</f>
        <v>161397</v>
      </c>
      <c r="E50" s="377">
        <f>SUM(E41:E47)</f>
        <v>161397</v>
      </c>
      <c r="F50" s="377">
        <f>SUM(F41:F47)</f>
        <v>161397</v>
      </c>
      <c r="G50" s="377">
        <f>SUM(G41:G47)</f>
        <v>161397</v>
      </c>
      <c r="H50" s="851">
        <f t="shared" si="0"/>
        <v>1</v>
      </c>
    </row>
    <row r="51" spans="1:8" ht="12" customHeight="1">
      <c r="A51" s="359">
        <v>3000</v>
      </c>
      <c r="B51" s="389" t="s">
        <v>121</v>
      </c>
      <c r="C51" s="298"/>
      <c r="D51" s="298"/>
      <c r="E51" s="298"/>
      <c r="F51" s="298"/>
      <c r="G51" s="298"/>
      <c r="H51" s="843"/>
    </row>
    <row r="52" spans="1:8" ht="12" customHeight="1">
      <c r="A52" s="359"/>
      <c r="B52" s="390" t="s">
        <v>75</v>
      </c>
      <c r="C52" s="298"/>
      <c r="D52" s="298"/>
      <c r="E52" s="298"/>
      <c r="F52" s="298"/>
      <c r="G52" s="298"/>
      <c r="H52" s="368"/>
    </row>
    <row r="53" spans="1:8" ht="12" customHeight="1">
      <c r="A53" s="370"/>
      <c r="B53" s="371" t="s">
        <v>120</v>
      </c>
      <c r="C53" s="298">
        <f aca="true" t="shared" si="1" ref="C53:E54">SUM(C22+C11+C32)</f>
        <v>1256708</v>
      </c>
      <c r="D53" s="298">
        <f t="shared" si="1"/>
        <v>1300655</v>
      </c>
      <c r="E53" s="298">
        <f t="shared" si="1"/>
        <v>1302838</v>
      </c>
      <c r="F53" s="298">
        <f>SUM(F22+F11+F32)</f>
        <v>1297004</v>
      </c>
      <c r="G53" s="298">
        <f>SUM(G22+G11+G32)</f>
        <v>1297168</v>
      </c>
      <c r="H53" s="850">
        <f t="shared" si="0"/>
        <v>1.0001264452538312</v>
      </c>
    </row>
    <row r="54" spans="1:8" ht="12" customHeight="1">
      <c r="A54" s="370"/>
      <c r="B54" s="182" t="s">
        <v>314</v>
      </c>
      <c r="C54" s="298">
        <f t="shared" si="1"/>
        <v>270267</v>
      </c>
      <c r="D54" s="298">
        <f t="shared" si="1"/>
        <v>304951</v>
      </c>
      <c r="E54" s="298">
        <f t="shared" si="1"/>
        <v>305084</v>
      </c>
      <c r="F54" s="298">
        <f>SUM(F23+F12+F33)</f>
        <v>311116</v>
      </c>
      <c r="G54" s="298">
        <f>SUM(G23+G12+G33)</f>
        <v>311148</v>
      </c>
      <c r="H54" s="850">
        <f t="shared" si="0"/>
        <v>1.000102855526556</v>
      </c>
    </row>
    <row r="55" spans="1:8" ht="12" customHeight="1">
      <c r="A55" s="292"/>
      <c r="B55" s="299" t="s">
        <v>311</v>
      </c>
      <c r="C55" s="298">
        <f>SUM(C24+C13+C44+C34)</f>
        <v>326187</v>
      </c>
      <c r="D55" s="298">
        <f>SUM(D24+D13+D44+D34)</f>
        <v>387422</v>
      </c>
      <c r="E55" s="298">
        <f>SUM(E24+E13+E44+E34)</f>
        <v>413258</v>
      </c>
      <c r="F55" s="298">
        <f>SUM(F24+F13+F44+F34)</f>
        <v>402258</v>
      </c>
      <c r="G55" s="298">
        <f>SUM(G24+G13+G44+G34)</f>
        <v>398822</v>
      </c>
      <c r="H55" s="850">
        <f t="shared" si="0"/>
        <v>0.9914582183573726</v>
      </c>
    </row>
    <row r="56" spans="1:8" ht="12" customHeight="1">
      <c r="A56" s="370"/>
      <c r="B56" s="299" t="s">
        <v>125</v>
      </c>
      <c r="C56" s="298">
        <f>SUM(C14)</f>
        <v>0</v>
      </c>
      <c r="D56" s="298">
        <f>SUM(D14)</f>
        <v>0</v>
      </c>
      <c r="E56" s="298">
        <f>SUM(E14)</f>
        <v>0</v>
      </c>
      <c r="F56" s="298">
        <f>SUM(F14)</f>
        <v>0</v>
      </c>
      <c r="G56" s="298">
        <f>SUM(G14)</f>
        <v>0</v>
      </c>
      <c r="H56" s="850"/>
    </row>
    <row r="57" spans="1:8" ht="12" customHeight="1">
      <c r="A57" s="370"/>
      <c r="B57" s="182" t="s">
        <v>308</v>
      </c>
      <c r="C57" s="298"/>
      <c r="D57" s="298">
        <f>SUM(D36)</f>
        <v>576</v>
      </c>
      <c r="E57" s="298">
        <f>SUM(E36)</f>
        <v>576</v>
      </c>
      <c r="F57" s="298">
        <f>SUM(F36)</f>
        <v>576</v>
      </c>
      <c r="G57" s="298">
        <f>SUM(G36)</f>
        <v>576</v>
      </c>
      <c r="H57" s="850">
        <f t="shared" si="0"/>
        <v>1</v>
      </c>
    </row>
    <row r="58" spans="1:8" ht="12" customHeight="1">
      <c r="A58" s="370"/>
      <c r="B58" s="303" t="s">
        <v>65</v>
      </c>
      <c r="C58" s="391">
        <f>SUM(C53:C57)</f>
        <v>1853162</v>
      </c>
      <c r="D58" s="391">
        <f>SUM(D53:D57)</f>
        <v>1993604</v>
      </c>
      <c r="E58" s="391">
        <f>SUM(E53:E57)</f>
        <v>2021756</v>
      </c>
      <c r="F58" s="391">
        <f>SUM(F53:F57)</f>
        <v>2010954</v>
      </c>
      <c r="G58" s="391">
        <f>SUM(G53:G57)</f>
        <v>2007714</v>
      </c>
      <c r="H58" s="368">
        <f t="shared" si="0"/>
        <v>0.9983888244087135</v>
      </c>
    </row>
    <row r="59" spans="1:8" ht="12" customHeight="1">
      <c r="A59" s="370"/>
      <c r="B59" s="392" t="s">
        <v>76</v>
      </c>
      <c r="C59" s="298"/>
      <c r="D59" s="298"/>
      <c r="E59" s="298"/>
      <c r="F59" s="298"/>
      <c r="G59" s="298"/>
      <c r="H59" s="368"/>
    </row>
    <row r="60" spans="1:8" ht="12" customHeight="1">
      <c r="A60" s="370"/>
      <c r="B60" s="371" t="s">
        <v>268</v>
      </c>
      <c r="C60" s="298">
        <f>SUM(C28+C17)</f>
        <v>0</v>
      </c>
      <c r="D60" s="298">
        <f>SUM(D28+D17)</f>
        <v>0</v>
      </c>
      <c r="E60" s="298">
        <f>SUM(E28+E17)</f>
        <v>0</v>
      </c>
      <c r="F60" s="298">
        <f>SUM(F28+F17)</f>
        <v>0</v>
      </c>
      <c r="G60" s="298">
        <f>SUM(G28+G17)</f>
        <v>0</v>
      </c>
      <c r="H60" s="368"/>
    </row>
    <row r="61" spans="1:8" ht="12" customHeight="1">
      <c r="A61" s="370"/>
      <c r="B61" s="73" t="s">
        <v>397</v>
      </c>
      <c r="C61" s="298">
        <f>SUM(C27+C16+C47+C37)</f>
        <v>88170</v>
      </c>
      <c r="D61" s="298">
        <f>SUM(D27+D16+D47+D37)</f>
        <v>138334</v>
      </c>
      <c r="E61" s="298">
        <f>SUM(E27+E16+E47+E37)</f>
        <v>115834</v>
      </c>
      <c r="F61" s="298">
        <f>SUM(F27+F16+F47+F37)</f>
        <v>126834</v>
      </c>
      <c r="G61" s="298">
        <f>SUM(G27+G16+G47+G37)</f>
        <v>126834</v>
      </c>
      <c r="H61" s="850">
        <f t="shared" si="0"/>
        <v>1</v>
      </c>
    </row>
    <row r="62" spans="1:8" ht="12" customHeight="1">
      <c r="A62" s="370"/>
      <c r="B62" s="299" t="s">
        <v>481</v>
      </c>
      <c r="C62" s="298">
        <f>SUM(C29)</f>
        <v>10000</v>
      </c>
      <c r="D62" s="298">
        <f>SUM(D29)</f>
        <v>10000</v>
      </c>
      <c r="E62" s="298">
        <f>SUM(E29)</f>
        <v>10000</v>
      </c>
      <c r="F62" s="298">
        <f>SUM(F29)</f>
        <v>10000</v>
      </c>
      <c r="G62" s="298">
        <f>SUM(G29)</f>
        <v>9537</v>
      </c>
      <c r="H62" s="850">
        <f t="shared" si="0"/>
        <v>0.9537</v>
      </c>
    </row>
    <row r="63" spans="1:8" ht="12" customHeight="1" thickBot="1">
      <c r="A63" s="370"/>
      <c r="B63" s="303" t="s">
        <v>77</v>
      </c>
      <c r="C63" s="391">
        <f>SUM(C60:C62)</f>
        <v>98170</v>
      </c>
      <c r="D63" s="391">
        <f>SUM(D60:D62)</f>
        <v>148334</v>
      </c>
      <c r="E63" s="391">
        <f>SUM(E60:E62)</f>
        <v>125834</v>
      </c>
      <c r="F63" s="391">
        <f>SUM(F60:F62)</f>
        <v>136834</v>
      </c>
      <c r="G63" s="391">
        <f>SUM(G60:G62)</f>
        <v>136371</v>
      </c>
      <c r="H63" s="844">
        <f t="shared" si="0"/>
        <v>0.996616338044638</v>
      </c>
    </row>
    <row r="64" spans="1:8" ht="12" customHeight="1" thickBot="1">
      <c r="A64" s="361"/>
      <c r="B64" s="376" t="s">
        <v>269</v>
      </c>
      <c r="C64" s="377">
        <f>SUM(C58+C63)</f>
        <v>1951332</v>
      </c>
      <c r="D64" s="377">
        <f>SUM(D58+D63)</f>
        <v>2141938</v>
      </c>
      <c r="E64" s="377">
        <f>SUM(E58+E63)</f>
        <v>2147590</v>
      </c>
      <c r="F64" s="377">
        <f>SUM(F58+F63)</f>
        <v>2147788</v>
      </c>
      <c r="G64" s="377">
        <f>SUM(G58+G63)</f>
        <v>2144085</v>
      </c>
      <c r="H64" s="851">
        <f t="shared" si="0"/>
        <v>0.9982759006009904</v>
      </c>
    </row>
    <row r="65" spans="1:8" ht="12.75" thickBot="1">
      <c r="A65" s="393"/>
      <c r="B65" s="394" t="s">
        <v>87</v>
      </c>
      <c r="C65" s="757">
        <f>SUM(C64)</f>
        <v>1951332</v>
      </c>
      <c r="D65" s="757">
        <f>SUM(D64)</f>
        <v>2141938</v>
      </c>
      <c r="E65" s="757">
        <f>SUM(E64)</f>
        <v>2147590</v>
      </c>
      <c r="F65" s="757">
        <f>SUM(F64)</f>
        <v>2147788</v>
      </c>
      <c r="G65" s="1235">
        <f>SUM(G64)</f>
        <v>2144085</v>
      </c>
      <c r="H65" s="851">
        <f t="shared" si="0"/>
        <v>0.9982759006009904</v>
      </c>
    </row>
    <row r="67" spans="3:7" ht="12">
      <c r="C67" s="395"/>
      <c r="D67" s="395"/>
      <c r="E67" s="395"/>
      <c r="F67" s="395"/>
      <c r="G67" s="395"/>
    </row>
  </sheetData>
  <sheetProtection/>
  <mergeCells count="8">
    <mergeCell ref="H5:H7"/>
    <mergeCell ref="A2:H2"/>
    <mergeCell ref="A1:H1"/>
    <mergeCell ref="C5:C7"/>
    <mergeCell ref="D5:D7"/>
    <mergeCell ref="E5:E7"/>
    <mergeCell ref="F5:F7"/>
    <mergeCell ref="G5:G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0">
      <selection activeCell="H16" sqref="H16"/>
    </sheetView>
  </sheetViews>
  <sheetFormatPr defaultColWidth="9.00390625" defaultRowHeight="12.75"/>
  <cols>
    <col min="1" max="1" width="9.125" style="396" customWidth="1"/>
    <col min="2" max="2" width="60.00390625" style="396" customWidth="1"/>
    <col min="3" max="7" width="10.875" style="396" customWidth="1"/>
    <col min="8" max="8" width="9.375" style="396" customWidth="1"/>
    <col min="9" max="16384" width="9.125" style="396" customWidth="1"/>
  </cols>
  <sheetData>
    <row r="2" spans="1:8" ht="15">
      <c r="A2" s="1299" t="s">
        <v>334</v>
      </c>
      <c r="B2" s="1293"/>
      <c r="C2" s="1293"/>
      <c r="D2" s="1293"/>
      <c r="E2" s="1293"/>
      <c r="F2" s="1293"/>
      <c r="G2" s="1293"/>
      <c r="H2" s="1293"/>
    </row>
    <row r="3" spans="1:8" ht="12.75">
      <c r="A3" s="1298" t="s">
        <v>1074</v>
      </c>
      <c r="B3" s="1293"/>
      <c r="C3" s="1293"/>
      <c r="D3" s="1293"/>
      <c r="E3" s="1293"/>
      <c r="F3" s="1293"/>
      <c r="G3" s="1293"/>
      <c r="H3" s="1293"/>
    </row>
    <row r="4" ht="12.75">
      <c r="B4" s="397"/>
    </row>
    <row r="5" ht="12.75">
      <c r="B5" s="397"/>
    </row>
    <row r="6" spans="3:8" ht="12.75">
      <c r="C6" s="398"/>
      <c r="D6" s="398"/>
      <c r="E6" s="398"/>
      <c r="F6" s="398"/>
      <c r="G6" s="398"/>
      <c r="H6" s="398" t="s">
        <v>191</v>
      </c>
    </row>
    <row r="7" spans="1:8" ht="12.75" customHeight="1">
      <c r="A7" s="399"/>
      <c r="B7" s="400" t="s">
        <v>171</v>
      </c>
      <c r="C7" s="1286" t="s">
        <v>1130</v>
      </c>
      <c r="D7" s="1286" t="s">
        <v>1189</v>
      </c>
      <c r="E7" s="1286" t="s">
        <v>1205</v>
      </c>
      <c r="F7" s="1286" t="s">
        <v>1226</v>
      </c>
      <c r="G7" s="1286" t="s">
        <v>1235</v>
      </c>
      <c r="H7" s="1295" t="s">
        <v>1234</v>
      </c>
    </row>
    <row r="8" spans="1:8" ht="12.75">
      <c r="A8" s="401"/>
      <c r="B8" s="402" t="s">
        <v>294</v>
      </c>
      <c r="C8" s="1300"/>
      <c r="D8" s="1300"/>
      <c r="E8" s="1300"/>
      <c r="F8" s="1300"/>
      <c r="G8" s="1300"/>
      <c r="H8" s="1296"/>
    </row>
    <row r="9" spans="1:8" ht="13.5" thickBot="1">
      <c r="A9" s="403"/>
      <c r="B9" s="404"/>
      <c r="C9" s="1294"/>
      <c r="D9" s="1294"/>
      <c r="E9" s="1294"/>
      <c r="F9" s="1294"/>
      <c r="G9" s="1294"/>
      <c r="H9" s="1297"/>
    </row>
    <row r="10" spans="1:8" ht="13.5" thickBot="1">
      <c r="A10" s="405" t="s">
        <v>172</v>
      </c>
      <c r="B10" s="404" t="s">
        <v>173</v>
      </c>
      <c r="C10" s="406" t="s">
        <v>174</v>
      </c>
      <c r="D10" s="406" t="s">
        <v>175</v>
      </c>
      <c r="E10" s="406" t="s">
        <v>176</v>
      </c>
      <c r="F10" s="406" t="s">
        <v>47</v>
      </c>
      <c r="G10" s="406" t="s">
        <v>386</v>
      </c>
      <c r="H10" s="406" t="s">
        <v>618</v>
      </c>
    </row>
    <row r="11" spans="1:8" ht="15" customHeight="1">
      <c r="A11" s="407">
        <v>3030</v>
      </c>
      <c r="B11" s="408" t="s">
        <v>81</v>
      </c>
      <c r="C11" s="409"/>
      <c r="D11" s="409"/>
      <c r="E11" s="409"/>
      <c r="F11" s="409"/>
      <c r="G11" s="409"/>
      <c r="H11" s="410"/>
    </row>
    <row r="12" spans="1:8" ht="15" customHeight="1">
      <c r="A12" s="407"/>
      <c r="B12" s="316" t="s">
        <v>201</v>
      </c>
      <c r="C12" s="409"/>
      <c r="D12" s="409"/>
      <c r="E12" s="409"/>
      <c r="F12" s="409"/>
      <c r="G12" s="409"/>
      <c r="H12" s="401"/>
    </row>
    <row r="13" spans="1:8" ht="15" customHeight="1" thickBot="1">
      <c r="A13" s="407"/>
      <c r="B13" s="317" t="s">
        <v>502</v>
      </c>
      <c r="C13" s="620"/>
      <c r="D13" s="620"/>
      <c r="E13" s="620"/>
      <c r="F13" s="620"/>
      <c r="G13" s="620"/>
      <c r="H13" s="574"/>
    </row>
    <row r="14" spans="1:8" ht="15" customHeight="1" thickBot="1">
      <c r="A14" s="411"/>
      <c r="B14" s="318" t="s">
        <v>468</v>
      </c>
      <c r="C14" s="623"/>
      <c r="D14" s="623"/>
      <c r="E14" s="623"/>
      <c r="F14" s="623"/>
      <c r="G14" s="623"/>
      <c r="H14" s="574"/>
    </row>
    <row r="15" spans="1:8" ht="15" customHeight="1">
      <c r="A15" s="407"/>
      <c r="B15" s="617" t="s">
        <v>18</v>
      </c>
      <c r="C15" s="624"/>
      <c r="D15" s="624"/>
      <c r="E15" s="624"/>
      <c r="F15" s="624"/>
      <c r="G15" s="624"/>
      <c r="H15" s="575"/>
    </row>
    <row r="16" spans="1:8" ht="15" customHeight="1" thickBot="1">
      <c r="A16" s="412"/>
      <c r="B16" s="619" t="s">
        <v>19</v>
      </c>
      <c r="C16" s="620">
        <v>20000</v>
      </c>
      <c r="D16" s="620">
        <v>20000</v>
      </c>
      <c r="E16" s="620">
        <v>20000</v>
      </c>
      <c r="F16" s="620">
        <v>20000</v>
      </c>
      <c r="G16" s="1217">
        <v>17971</v>
      </c>
      <c r="H16" s="634">
        <f>SUM(G16/F16)</f>
        <v>0.89855</v>
      </c>
    </row>
    <row r="17" spans="1:8" ht="15" customHeight="1" thickBot="1">
      <c r="A17" s="412"/>
      <c r="B17" s="618" t="s">
        <v>20</v>
      </c>
      <c r="C17" s="623">
        <f>SUM(C16)</f>
        <v>20000</v>
      </c>
      <c r="D17" s="623">
        <f>SUM(D16)</f>
        <v>20000</v>
      </c>
      <c r="E17" s="623">
        <f>SUM(E16)</f>
        <v>20000</v>
      </c>
      <c r="F17" s="623">
        <f>SUM(F16)</f>
        <v>20000</v>
      </c>
      <c r="G17" s="623">
        <f>SUM(G16)</f>
        <v>17971</v>
      </c>
      <c r="H17" s="845">
        <f aca="true" t="shared" si="0" ref="H17:H48">SUM(G17/F17)</f>
        <v>0.89855</v>
      </c>
    </row>
    <row r="18" spans="1:8" ht="15" customHeight="1">
      <c r="A18" s="407"/>
      <c r="B18" s="316" t="s">
        <v>204</v>
      </c>
      <c r="C18" s="624"/>
      <c r="D18" s="624"/>
      <c r="E18" s="624"/>
      <c r="F18" s="624"/>
      <c r="G18" s="624"/>
      <c r="H18" s="635"/>
    </row>
    <row r="19" spans="1:8" ht="15" customHeight="1">
      <c r="A19" s="407"/>
      <c r="B19" s="322" t="s">
        <v>205</v>
      </c>
      <c r="C19" s="622"/>
      <c r="D19" s="622"/>
      <c r="E19" s="622"/>
      <c r="F19" s="622"/>
      <c r="G19" s="622"/>
      <c r="H19" s="635"/>
    </row>
    <row r="20" spans="1:8" ht="15" customHeight="1">
      <c r="A20" s="407"/>
      <c r="B20" s="322" t="s">
        <v>206</v>
      </c>
      <c r="C20" s="622"/>
      <c r="D20" s="622"/>
      <c r="E20" s="622"/>
      <c r="F20" s="622"/>
      <c r="G20" s="622"/>
      <c r="H20" s="635"/>
    </row>
    <row r="21" spans="1:8" ht="15" customHeight="1">
      <c r="A21" s="407"/>
      <c r="B21" s="324" t="s">
        <v>207</v>
      </c>
      <c r="C21" s="622"/>
      <c r="D21" s="622"/>
      <c r="E21" s="622"/>
      <c r="F21" s="622"/>
      <c r="G21" s="622"/>
      <c r="H21" s="635"/>
    </row>
    <row r="22" spans="1:8" ht="15" customHeight="1">
      <c r="A22" s="407"/>
      <c r="B22" s="324" t="s">
        <v>208</v>
      </c>
      <c r="C22" s="624"/>
      <c r="D22" s="624"/>
      <c r="E22" s="624"/>
      <c r="F22" s="624"/>
      <c r="G22" s="624"/>
      <c r="H22" s="635"/>
    </row>
    <row r="23" spans="1:8" ht="15" customHeight="1">
      <c r="A23" s="407"/>
      <c r="B23" s="324" t="s">
        <v>209</v>
      </c>
      <c r="C23" s="622"/>
      <c r="D23" s="622"/>
      <c r="E23" s="622"/>
      <c r="F23" s="622"/>
      <c r="G23" s="622"/>
      <c r="H23" s="635"/>
    </row>
    <row r="24" spans="1:8" ht="15" customHeight="1">
      <c r="A24" s="407"/>
      <c r="B24" s="325" t="s">
        <v>501</v>
      </c>
      <c r="C24" s="622"/>
      <c r="D24" s="622"/>
      <c r="E24" s="622"/>
      <c r="F24" s="622"/>
      <c r="G24" s="622"/>
      <c r="H24" s="635"/>
    </row>
    <row r="25" spans="1:8" ht="15" customHeight="1" thickBot="1">
      <c r="A25" s="412"/>
      <c r="B25" s="326" t="s">
        <v>210</v>
      </c>
      <c r="C25" s="620"/>
      <c r="D25" s="620"/>
      <c r="E25" s="620"/>
      <c r="F25" s="620"/>
      <c r="G25" s="620"/>
      <c r="H25" s="634"/>
    </row>
    <row r="26" spans="1:8" ht="15" customHeight="1" thickBot="1">
      <c r="A26" s="411"/>
      <c r="B26" s="328" t="s">
        <v>366</v>
      </c>
      <c r="C26" s="623"/>
      <c r="D26" s="623"/>
      <c r="E26" s="623"/>
      <c r="F26" s="623"/>
      <c r="G26" s="623"/>
      <c r="H26" s="846"/>
    </row>
    <row r="27" spans="1:8" ht="15" customHeight="1" thickBot="1">
      <c r="A27" s="411"/>
      <c r="B27" s="331" t="s">
        <v>72</v>
      </c>
      <c r="C27" s="623">
        <f>SUM(C17+C26)</f>
        <v>20000</v>
      </c>
      <c r="D27" s="623">
        <f>SUM(D17+D26)</f>
        <v>20000</v>
      </c>
      <c r="E27" s="623">
        <f>SUM(E17+E26)</f>
        <v>20000</v>
      </c>
      <c r="F27" s="623">
        <f>SUM(F17+F26)</f>
        <v>20000</v>
      </c>
      <c r="G27" s="623">
        <f>SUM(G17+G26)</f>
        <v>17971</v>
      </c>
      <c r="H27" s="845">
        <f t="shared" si="0"/>
        <v>0.89855</v>
      </c>
    </row>
    <row r="28" spans="1:8" ht="15" customHeight="1" thickBot="1">
      <c r="A28" s="411"/>
      <c r="B28" s="333" t="s">
        <v>73</v>
      </c>
      <c r="C28" s="623"/>
      <c r="D28" s="623"/>
      <c r="E28" s="623"/>
      <c r="F28" s="623"/>
      <c r="G28" s="623"/>
      <c r="H28" s="846"/>
    </row>
    <row r="29" spans="1:8" ht="15" customHeight="1">
      <c r="A29" s="407"/>
      <c r="B29" s="334" t="s">
        <v>470</v>
      </c>
      <c r="C29" s="622"/>
      <c r="D29" s="622">
        <v>42001</v>
      </c>
      <c r="E29" s="622">
        <v>42001</v>
      </c>
      <c r="F29" s="622">
        <v>42001</v>
      </c>
      <c r="G29" s="622">
        <v>42001</v>
      </c>
      <c r="H29" s="635">
        <f t="shared" si="0"/>
        <v>1</v>
      </c>
    </row>
    <row r="30" spans="1:8" ht="15" customHeight="1">
      <c r="A30" s="407"/>
      <c r="B30" s="335" t="s">
        <v>486</v>
      </c>
      <c r="C30" s="622"/>
      <c r="D30" s="622">
        <v>474</v>
      </c>
      <c r="E30" s="622">
        <v>474</v>
      </c>
      <c r="F30" s="622">
        <v>474</v>
      </c>
      <c r="G30" s="622">
        <v>474</v>
      </c>
      <c r="H30" s="635">
        <f t="shared" si="0"/>
        <v>1</v>
      </c>
    </row>
    <row r="31" spans="1:8" ht="15" customHeight="1" thickBot="1">
      <c r="A31" s="407"/>
      <c r="B31" s="336" t="s">
        <v>507</v>
      </c>
      <c r="C31" s="620">
        <v>698998</v>
      </c>
      <c r="D31" s="620">
        <v>719255</v>
      </c>
      <c r="E31" s="620">
        <v>719338</v>
      </c>
      <c r="F31" s="620">
        <v>719358</v>
      </c>
      <c r="G31" s="620">
        <v>719379</v>
      </c>
      <c r="H31" s="634">
        <f t="shared" si="0"/>
        <v>1.0000291926968212</v>
      </c>
    </row>
    <row r="32" spans="1:8" ht="15" customHeight="1" thickBot="1">
      <c r="A32" s="411"/>
      <c r="B32" s="337" t="s">
        <v>66</v>
      </c>
      <c r="C32" s="621">
        <f>SUM(C29:C31)</f>
        <v>698998</v>
      </c>
      <c r="D32" s="621">
        <f>SUM(D29:D31)</f>
        <v>761730</v>
      </c>
      <c r="E32" s="621">
        <f>SUM(E29:E31)</f>
        <v>761813</v>
      </c>
      <c r="F32" s="621">
        <f>SUM(F29:F31)</f>
        <v>761833</v>
      </c>
      <c r="G32" s="621">
        <f>SUM(G29:G31)</f>
        <v>761854</v>
      </c>
      <c r="H32" s="847">
        <f t="shared" si="0"/>
        <v>1.0000275650962875</v>
      </c>
    </row>
    <row r="33" spans="1:8" ht="15" customHeight="1" thickBot="1">
      <c r="A33" s="407"/>
      <c r="B33" s="792" t="s">
        <v>470</v>
      </c>
      <c r="C33" s="622"/>
      <c r="D33" s="622">
        <v>14500</v>
      </c>
      <c r="E33" s="622">
        <v>14500</v>
      </c>
      <c r="F33" s="622">
        <v>14500</v>
      </c>
      <c r="G33" s="622">
        <v>14500</v>
      </c>
      <c r="H33" s="846">
        <f t="shared" si="0"/>
        <v>1</v>
      </c>
    </row>
    <row r="34" spans="1:8" ht="15" customHeight="1" thickBot="1">
      <c r="A34" s="411"/>
      <c r="B34" s="337" t="s">
        <v>68</v>
      </c>
      <c r="C34" s="621"/>
      <c r="D34" s="621">
        <f>SUM(D33)</f>
        <v>14500</v>
      </c>
      <c r="E34" s="621">
        <f>SUM(E33)</f>
        <v>14500</v>
      </c>
      <c r="F34" s="621">
        <f>SUM(F33)</f>
        <v>14500</v>
      </c>
      <c r="G34" s="621">
        <f>SUM(G33)</f>
        <v>14500</v>
      </c>
      <c r="H34" s="847">
        <f t="shared" si="0"/>
        <v>1</v>
      </c>
    </row>
    <row r="35" spans="1:8" ht="15" customHeight="1" thickBot="1">
      <c r="A35" s="411"/>
      <c r="B35" s="339" t="s">
        <v>80</v>
      </c>
      <c r="C35" s="621">
        <f>SUM(C34+C32+C27+C28)</f>
        <v>718998</v>
      </c>
      <c r="D35" s="621">
        <f>SUM(D34+D32+D27+D28)</f>
        <v>796230</v>
      </c>
      <c r="E35" s="621">
        <f>SUM(E34+E32+E27+E28)</f>
        <v>796313</v>
      </c>
      <c r="F35" s="621">
        <f>SUM(F34+F32+F27+F28)</f>
        <v>796333</v>
      </c>
      <c r="G35" s="621">
        <f>SUM(G34+G32+G27+G28)</f>
        <v>794325</v>
      </c>
      <c r="H35" s="847">
        <f t="shared" si="0"/>
        <v>0.9974784418076358</v>
      </c>
    </row>
    <row r="36" spans="1:8" ht="15" customHeight="1">
      <c r="A36" s="407"/>
      <c r="B36" s="340" t="s">
        <v>344</v>
      </c>
      <c r="C36" s="622">
        <v>394562</v>
      </c>
      <c r="D36" s="622">
        <v>402141</v>
      </c>
      <c r="E36" s="622">
        <v>402211</v>
      </c>
      <c r="F36" s="622">
        <v>402228</v>
      </c>
      <c r="G36" s="622">
        <v>402246</v>
      </c>
      <c r="H36" s="635">
        <f t="shared" si="0"/>
        <v>1.0000447507383872</v>
      </c>
    </row>
    <row r="37" spans="1:8" ht="15" customHeight="1">
      <c r="A37" s="407"/>
      <c r="B37" s="340" t="s">
        <v>345</v>
      </c>
      <c r="C37" s="622">
        <v>79961</v>
      </c>
      <c r="D37" s="622">
        <v>84327</v>
      </c>
      <c r="E37" s="622">
        <v>84340</v>
      </c>
      <c r="F37" s="622">
        <v>84343</v>
      </c>
      <c r="G37" s="622">
        <v>84346</v>
      </c>
      <c r="H37" s="635">
        <f t="shared" si="0"/>
        <v>1.0000355690454454</v>
      </c>
    </row>
    <row r="38" spans="1:8" ht="15" customHeight="1">
      <c r="A38" s="407"/>
      <c r="B38" s="340" t="s">
        <v>346</v>
      </c>
      <c r="C38" s="622">
        <v>231475</v>
      </c>
      <c r="D38" s="622">
        <v>282183</v>
      </c>
      <c r="E38" s="622">
        <v>289663</v>
      </c>
      <c r="F38" s="622">
        <v>289663</v>
      </c>
      <c r="G38" s="622">
        <v>287634</v>
      </c>
      <c r="H38" s="635">
        <f t="shared" si="0"/>
        <v>0.9929953083410722</v>
      </c>
    </row>
    <row r="39" spans="1:8" ht="15" customHeight="1">
      <c r="A39" s="407"/>
      <c r="B39" s="341" t="s">
        <v>348</v>
      </c>
      <c r="C39" s="624"/>
      <c r="D39" s="624"/>
      <c r="E39" s="624"/>
      <c r="F39" s="624"/>
      <c r="G39" s="624"/>
      <c r="H39" s="635"/>
    </row>
    <row r="40" spans="1:8" ht="15" customHeight="1" thickBot="1">
      <c r="A40" s="596"/>
      <c r="B40" s="342" t="s">
        <v>347</v>
      </c>
      <c r="C40" s="620"/>
      <c r="D40" s="620">
        <v>79</v>
      </c>
      <c r="E40" s="620">
        <v>79</v>
      </c>
      <c r="F40" s="620">
        <v>79</v>
      </c>
      <c r="G40" s="620">
        <v>79</v>
      </c>
      <c r="H40" s="634">
        <f t="shared" si="0"/>
        <v>1</v>
      </c>
    </row>
    <row r="41" spans="1:8" ht="15" customHeight="1">
      <c r="A41" s="594"/>
      <c r="B41" s="598" t="s">
        <v>65</v>
      </c>
      <c r="C41" s="624">
        <f>SUM(C36:C40)</f>
        <v>705998</v>
      </c>
      <c r="D41" s="624">
        <f>SUM(D36:D40)</f>
        <v>768730</v>
      </c>
      <c r="E41" s="624">
        <f>SUM(E36:E40)</f>
        <v>776293</v>
      </c>
      <c r="F41" s="624">
        <f>SUM(F36:F40)</f>
        <v>776313</v>
      </c>
      <c r="G41" s="624">
        <f>SUM(G36:G40)</f>
        <v>774305</v>
      </c>
      <c r="H41" s="1124">
        <f t="shared" si="0"/>
        <v>0.9974134144346417</v>
      </c>
    </row>
    <row r="42" spans="1:8" ht="15" customHeight="1">
      <c r="A42" s="597"/>
      <c r="B42" s="595" t="s">
        <v>15</v>
      </c>
      <c r="C42" s="625">
        <v>141477</v>
      </c>
      <c r="D42" s="625">
        <v>173648</v>
      </c>
      <c r="E42" s="625">
        <v>173648</v>
      </c>
      <c r="F42" s="625">
        <v>173648</v>
      </c>
      <c r="G42" s="625">
        <v>173648</v>
      </c>
      <c r="H42" s="635">
        <f t="shared" si="0"/>
        <v>1</v>
      </c>
    </row>
    <row r="43" spans="1:8" ht="15" customHeight="1" thickBot="1">
      <c r="A43" s="412"/>
      <c r="B43" s="591" t="s">
        <v>424</v>
      </c>
      <c r="C43" s="626">
        <v>185362</v>
      </c>
      <c r="D43" s="626">
        <v>185924</v>
      </c>
      <c r="E43" s="626">
        <v>185924</v>
      </c>
      <c r="F43" s="626">
        <v>185924</v>
      </c>
      <c r="G43" s="626">
        <v>185924</v>
      </c>
      <c r="H43" s="634">
        <f t="shared" si="0"/>
        <v>1</v>
      </c>
    </row>
    <row r="44" spans="1:8" ht="15.75" customHeight="1">
      <c r="A44" s="407"/>
      <c r="B44" s="340" t="s">
        <v>264</v>
      </c>
      <c r="C44" s="627">
        <v>13000</v>
      </c>
      <c r="D44" s="627">
        <v>27500</v>
      </c>
      <c r="E44" s="627">
        <v>20020</v>
      </c>
      <c r="F44" s="627">
        <v>20020</v>
      </c>
      <c r="G44" s="627">
        <v>20020</v>
      </c>
      <c r="H44" s="635">
        <f t="shared" si="0"/>
        <v>1</v>
      </c>
    </row>
    <row r="45" spans="1:8" ht="15" customHeight="1">
      <c r="A45" s="407"/>
      <c r="B45" s="340" t="s">
        <v>265</v>
      </c>
      <c r="C45" s="624"/>
      <c r="D45" s="624"/>
      <c r="E45" s="624"/>
      <c r="F45" s="624"/>
      <c r="G45" s="624"/>
      <c r="H45" s="635"/>
    </row>
    <row r="46" spans="1:8" ht="15" customHeight="1" thickBot="1">
      <c r="A46" s="407"/>
      <c r="B46" s="342" t="s">
        <v>479</v>
      </c>
      <c r="C46" s="623"/>
      <c r="D46" s="623"/>
      <c r="E46" s="623"/>
      <c r="F46" s="623"/>
      <c r="G46" s="623"/>
      <c r="H46" s="634"/>
    </row>
    <row r="47" spans="1:8" ht="15" customHeight="1" thickBot="1">
      <c r="A47" s="411"/>
      <c r="B47" s="344" t="s">
        <v>71</v>
      </c>
      <c r="C47" s="621">
        <f>SUM(C44:C46)</f>
        <v>13000</v>
      </c>
      <c r="D47" s="621">
        <f>SUM(D44:D46)</f>
        <v>27500</v>
      </c>
      <c r="E47" s="621">
        <f>SUM(E44:E46)</f>
        <v>20020</v>
      </c>
      <c r="F47" s="621">
        <f>SUM(F44:F46)</f>
        <v>20020</v>
      </c>
      <c r="G47" s="621">
        <f>SUM(G44:G46)</f>
        <v>20020</v>
      </c>
      <c r="H47" s="847">
        <f t="shared" si="0"/>
        <v>1</v>
      </c>
    </row>
    <row r="48" spans="1:8" ht="15" customHeight="1" thickBot="1">
      <c r="A48" s="412"/>
      <c r="B48" s="345" t="s">
        <v>117</v>
      </c>
      <c r="C48" s="621">
        <f>SUM(C47,C41)</f>
        <v>718998</v>
      </c>
      <c r="D48" s="621">
        <f>SUM(D47,D41)</f>
        <v>796230</v>
      </c>
      <c r="E48" s="621">
        <f>SUM(E47,E41)</f>
        <v>796313</v>
      </c>
      <c r="F48" s="621">
        <f>SUM(F47,F41)</f>
        <v>796333</v>
      </c>
      <c r="G48" s="621">
        <f>SUM(G47,G41)</f>
        <v>794325</v>
      </c>
      <c r="H48" s="845">
        <f t="shared" si="0"/>
        <v>0.9974784418076358</v>
      </c>
    </row>
    <row r="51" ht="16.5" customHeight="1">
      <c r="B51" s="577"/>
    </row>
    <row r="52" ht="15" customHeight="1">
      <c r="B52" s="577"/>
    </row>
  </sheetData>
  <sheetProtection/>
  <mergeCells count="8">
    <mergeCell ref="H7:H9"/>
    <mergeCell ref="A3:H3"/>
    <mergeCell ref="A2:H2"/>
    <mergeCell ref="C7:C9"/>
    <mergeCell ref="D7:D9"/>
    <mergeCell ref="E7:E9"/>
    <mergeCell ref="F7:F9"/>
    <mergeCell ref="G7:G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12"/>
  <sheetViews>
    <sheetView showZeros="0" zoomScaleSheetLayoutView="100" zoomScalePageLayoutView="0" workbookViewId="0" topLeftCell="A778">
      <selection activeCell="H801" sqref="H801"/>
    </sheetView>
  </sheetViews>
  <sheetFormatPr defaultColWidth="9.00390625" defaultRowHeight="12.75"/>
  <cols>
    <col min="1" max="1" width="6.125" style="414" customWidth="1"/>
    <col min="2" max="2" width="50.875" style="351" customWidth="1"/>
    <col min="3" max="7" width="14.625" style="507" customWidth="1"/>
    <col min="8" max="8" width="9.375" style="507" customWidth="1"/>
    <col min="9" max="9" width="39.875" style="507" customWidth="1"/>
    <col min="10" max="16384" width="9.125" style="351" customWidth="1"/>
  </cols>
  <sheetData>
    <row r="1" spans="1:9" ht="12.75">
      <c r="A1" s="1301" t="s">
        <v>335</v>
      </c>
      <c r="B1" s="1302"/>
      <c r="C1" s="1302"/>
      <c r="D1" s="1302"/>
      <c r="E1" s="1302"/>
      <c r="F1" s="1302"/>
      <c r="G1" s="1302"/>
      <c r="H1" s="1302"/>
      <c r="I1" s="1302"/>
    </row>
    <row r="2" spans="1:9" ht="12.75">
      <c r="A2" s="1303" t="s">
        <v>1075</v>
      </c>
      <c r="B2" s="1304"/>
      <c r="C2" s="1304"/>
      <c r="D2" s="1304"/>
      <c r="E2" s="1304"/>
      <c r="F2" s="1304"/>
      <c r="G2" s="1304"/>
      <c r="H2" s="1304"/>
      <c r="I2" s="1304"/>
    </row>
    <row r="3" spans="1:9" ht="12.75">
      <c r="A3" s="413"/>
      <c r="B3" s="413"/>
      <c r="C3" s="413"/>
      <c r="D3" s="413"/>
      <c r="E3" s="413"/>
      <c r="F3" s="413"/>
      <c r="G3" s="413"/>
      <c r="H3" s="413"/>
      <c r="I3" s="413"/>
    </row>
    <row r="4" spans="3:9" ht="12">
      <c r="C4" s="415"/>
      <c r="D4" s="415"/>
      <c r="E4" s="415"/>
      <c r="F4" s="415"/>
      <c r="G4" s="415"/>
      <c r="H4" s="415"/>
      <c r="I4" s="416" t="s">
        <v>191</v>
      </c>
    </row>
    <row r="5" spans="1:9" s="358" customFormat="1" ht="12" customHeight="1">
      <c r="A5" s="356"/>
      <c r="B5" s="357"/>
      <c r="C5" s="1286" t="s">
        <v>1132</v>
      </c>
      <c r="D5" s="1286" t="s">
        <v>1190</v>
      </c>
      <c r="E5" s="1286" t="s">
        <v>1206</v>
      </c>
      <c r="F5" s="1286" t="s">
        <v>1227</v>
      </c>
      <c r="G5" s="1286" t="s">
        <v>1236</v>
      </c>
      <c r="H5" s="1305" t="s">
        <v>1231</v>
      </c>
      <c r="I5" s="418" t="s">
        <v>151</v>
      </c>
    </row>
    <row r="6" spans="1:9" s="358" customFormat="1" ht="12" customHeight="1">
      <c r="A6" s="359" t="s">
        <v>293</v>
      </c>
      <c r="B6" s="360" t="s">
        <v>306</v>
      </c>
      <c r="C6" s="1287"/>
      <c r="D6" s="1287"/>
      <c r="E6" s="1287"/>
      <c r="F6" s="1287"/>
      <c r="G6" s="1287"/>
      <c r="H6" s="1300"/>
      <c r="I6" s="74" t="s">
        <v>152</v>
      </c>
    </row>
    <row r="7" spans="1:9" s="358" customFormat="1" ht="12.75" customHeight="1" thickBot="1">
      <c r="A7" s="359"/>
      <c r="B7" s="362"/>
      <c r="C7" s="1294"/>
      <c r="D7" s="1294"/>
      <c r="E7" s="1294"/>
      <c r="F7" s="1294"/>
      <c r="G7" s="1294"/>
      <c r="H7" s="1306"/>
      <c r="I7" s="382"/>
    </row>
    <row r="8" spans="1:9" s="358" customFormat="1" ht="12">
      <c r="A8" s="363" t="s">
        <v>172</v>
      </c>
      <c r="B8" s="419" t="s">
        <v>173</v>
      </c>
      <c r="C8" s="365" t="s">
        <v>174</v>
      </c>
      <c r="D8" s="365" t="s">
        <v>175</v>
      </c>
      <c r="E8" s="365" t="s">
        <v>176</v>
      </c>
      <c r="F8" s="365" t="s">
        <v>47</v>
      </c>
      <c r="G8" s="365" t="s">
        <v>386</v>
      </c>
      <c r="H8" s="365" t="s">
        <v>618</v>
      </c>
      <c r="I8" s="365" t="s">
        <v>620</v>
      </c>
    </row>
    <row r="9" spans="1:9" s="358" customFormat="1" ht="12" customHeight="1">
      <c r="A9" s="359">
        <v>3050</v>
      </c>
      <c r="B9" s="420" t="s">
        <v>270</v>
      </c>
      <c r="C9" s="421">
        <f>SUM(C17+C25)</f>
        <v>8000</v>
      </c>
      <c r="D9" s="421">
        <f>SUM(D17+D33+D25)</f>
        <v>26258</v>
      </c>
      <c r="E9" s="421">
        <f>SUM(E17+E33+E25)</f>
        <v>26258</v>
      </c>
      <c r="F9" s="421">
        <f>SUM(F17+F33+F25)</f>
        <v>26258</v>
      </c>
      <c r="G9" s="421">
        <f>SUM(G17+G33+G25)</f>
        <v>26258</v>
      </c>
      <c r="H9" s="422">
        <f>SUM(G9/F9)</f>
        <v>1</v>
      </c>
      <c r="I9" s="423"/>
    </row>
    <row r="10" spans="1:9" ht="12" customHeight="1">
      <c r="A10" s="424">
        <v>3052</v>
      </c>
      <c r="B10" s="425" t="s">
        <v>23</v>
      </c>
      <c r="C10" s="426"/>
      <c r="D10" s="426"/>
      <c r="E10" s="426"/>
      <c r="F10" s="426"/>
      <c r="G10" s="426"/>
      <c r="H10" s="422"/>
      <c r="I10" s="427"/>
    </row>
    <row r="11" spans="1:9" ht="12" customHeight="1">
      <c r="A11" s="428"/>
      <c r="B11" s="429" t="s">
        <v>120</v>
      </c>
      <c r="C11" s="443"/>
      <c r="D11" s="443"/>
      <c r="E11" s="443"/>
      <c r="F11" s="443"/>
      <c r="G11" s="443"/>
      <c r="H11" s="422"/>
      <c r="I11" s="738"/>
    </row>
    <row r="12" spans="1:9" ht="12" customHeight="1">
      <c r="A12" s="428"/>
      <c r="B12" s="431" t="s">
        <v>314</v>
      </c>
      <c r="C12" s="443"/>
      <c r="D12" s="443"/>
      <c r="E12" s="443"/>
      <c r="F12" s="443"/>
      <c r="G12" s="443"/>
      <c r="H12" s="422"/>
      <c r="I12" s="738"/>
    </row>
    <row r="13" spans="1:9" ht="12" customHeight="1">
      <c r="A13" s="428"/>
      <c r="B13" s="432" t="s">
        <v>299</v>
      </c>
      <c r="C13" s="443">
        <v>5000</v>
      </c>
      <c r="D13" s="443">
        <v>8258</v>
      </c>
      <c r="E13" s="443">
        <v>8258</v>
      </c>
      <c r="F13" s="443">
        <v>8258</v>
      </c>
      <c r="G13" s="443">
        <v>8258</v>
      </c>
      <c r="H13" s="744">
        <f>SUM(G13/F13)</f>
        <v>1</v>
      </c>
      <c r="I13" s="738"/>
    </row>
    <row r="14" spans="1:9" ht="12" customHeight="1">
      <c r="A14" s="428"/>
      <c r="B14" s="433" t="s">
        <v>125</v>
      </c>
      <c r="C14" s="443"/>
      <c r="D14" s="443"/>
      <c r="E14" s="443"/>
      <c r="F14" s="443"/>
      <c r="G14" s="443"/>
      <c r="H14" s="422"/>
      <c r="I14" s="430"/>
    </row>
    <row r="15" spans="1:9" ht="12" customHeight="1">
      <c r="A15" s="428"/>
      <c r="B15" s="433" t="s">
        <v>308</v>
      </c>
      <c r="C15" s="426"/>
      <c r="D15" s="426"/>
      <c r="E15" s="426"/>
      <c r="F15" s="426"/>
      <c r="G15" s="426"/>
      <c r="H15" s="422"/>
      <c r="I15" s="430"/>
    </row>
    <row r="16" spans="1:9" ht="12" customHeight="1" thickBot="1">
      <c r="A16" s="428"/>
      <c r="B16" s="434" t="s">
        <v>93</v>
      </c>
      <c r="C16" s="435"/>
      <c r="D16" s="435"/>
      <c r="E16" s="435"/>
      <c r="F16" s="435"/>
      <c r="G16" s="435"/>
      <c r="H16" s="1182"/>
      <c r="I16" s="436"/>
    </row>
    <row r="17" spans="1:9" ht="13.5" customHeight="1" thickBot="1">
      <c r="A17" s="437"/>
      <c r="B17" s="438" t="s">
        <v>142</v>
      </c>
      <c r="C17" s="758">
        <f>SUM(C11:C14)</f>
        <v>5000</v>
      </c>
      <c r="D17" s="758">
        <f>SUM(D11:D14)</f>
        <v>8258</v>
      </c>
      <c r="E17" s="758">
        <f>SUM(E11:E14)</f>
        <v>8258</v>
      </c>
      <c r="F17" s="758">
        <f>SUM(F11:F14)</f>
        <v>8258</v>
      </c>
      <c r="G17" s="758">
        <f>SUM(G11:G14)</f>
        <v>8258</v>
      </c>
      <c r="H17" s="1185">
        <f>SUM(G17/F17)</f>
        <v>1</v>
      </c>
      <c r="I17" s="439"/>
    </row>
    <row r="18" spans="1:9" ht="13.5" customHeight="1">
      <c r="A18" s="424">
        <v>3054</v>
      </c>
      <c r="B18" s="1130" t="s">
        <v>250</v>
      </c>
      <c r="C18" s="426"/>
      <c r="D18" s="426"/>
      <c r="E18" s="426"/>
      <c r="F18" s="426"/>
      <c r="G18" s="426"/>
      <c r="H18" s="422"/>
      <c r="I18" s="427"/>
    </row>
    <row r="19" spans="1:9" ht="12" customHeight="1">
      <c r="A19" s="428"/>
      <c r="B19" s="429" t="s">
        <v>120</v>
      </c>
      <c r="C19" s="443"/>
      <c r="D19" s="443"/>
      <c r="E19" s="443"/>
      <c r="F19" s="443"/>
      <c r="G19" s="443"/>
      <c r="H19" s="422"/>
      <c r="I19" s="738"/>
    </row>
    <row r="20" spans="1:9" ht="12" customHeight="1">
      <c r="A20" s="428"/>
      <c r="B20" s="431" t="s">
        <v>314</v>
      </c>
      <c r="C20" s="443"/>
      <c r="D20" s="443"/>
      <c r="E20" s="443"/>
      <c r="F20" s="443"/>
      <c r="G20" s="443"/>
      <c r="H20" s="422"/>
      <c r="I20" s="738"/>
    </row>
    <row r="21" spans="1:9" ht="12" customHeight="1">
      <c r="A21" s="428"/>
      <c r="B21" s="432" t="s">
        <v>299</v>
      </c>
      <c r="C21" s="1099">
        <v>3000</v>
      </c>
      <c r="D21" s="443">
        <v>3000</v>
      </c>
      <c r="E21" s="443">
        <v>3000</v>
      </c>
      <c r="F21" s="443">
        <v>3000</v>
      </c>
      <c r="G21" s="443">
        <v>3000</v>
      </c>
      <c r="H21" s="744">
        <f>SUM(G21/F21)</f>
        <v>1</v>
      </c>
      <c r="I21" s="738"/>
    </row>
    <row r="22" spans="1:9" ht="12" customHeight="1">
      <c r="A22" s="428"/>
      <c r="B22" s="433" t="s">
        <v>125</v>
      </c>
      <c r="C22" s="443"/>
      <c r="D22" s="443"/>
      <c r="E22" s="443"/>
      <c r="F22" s="443"/>
      <c r="G22" s="443"/>
      <c r="H22" s="422"/>
      <c r="I22" s="430"/>
    </row>
    <row r="23" spans="1:9" ht="12" customHeight="1">
      <c r="A23" s="428"/>
      <c r="B23" s="433" t="s">
        <v>308</v>
      </c>
      <c r="C23" s="426"/>
      <c r="D23" s="426"/>
      <c r="E23" s="426"/>
      <c r="F23" s="426"/>
      <c r="G23" s="426"/>
      <c r="H23" s="422"/>
      <c r="I23" s="430"/>
    </row>
    <row r="24" spans="1:9" ht="12" customHeight="1" thickBot="1">
      <c r="A24" s="428"/>
      <c r="B24" s="434" t="s">
        <v>93</v>
      </c>
      <c r="C24" s="435"/>
      <c r="D24" s="435"/>
      <c r="E24" s="435"/>
      <c r="F24" s="435"/>
      <c r="G24" s="435"/>
      <c r="H24" s="1182"/>
      <c r="I24" s="436"/>
    </row>
    <row r="25" spans="1:9" ht="12" customHeight="1" thickBot="1">
      <c r="A25" s="437"/>
      <c r="B25" s="438" t="s">
        <v>142</v>
      </c>
      <c r="C25" s="758">
        <f>SUM(C21:C24)</f>
        <v>3000</v>
      </c>
      <c r="D25" s="761">
        <f>SUM(D21:D24)</f>
        <v>3000</v>
      </c>
      <c r="E25" s="761">
        <f>SUM(E21:E24)</f>
        <v>3000</v>
      </c>
      <c r="F25" s="761">
        <f>SUM(F21:F24)</f>
        <v>3000</v>
      </c>
      <c r="G25" s="1236">
        <f>SUM(G21:G24)</f>
        <v>3000</v>
      </c>
      <c r="H25" s="1185">
        <f>SUM(G25/F25)</f>
        <v>1</v>
      </c>
      <c r="I25" s="439"/>
    </row>
    <row r="26" spans="1:9" ht="12" customHeight="1">
      <c r="A26" s="424">
        <v>3055</v>
      </c>
      <c r="B26" s="1130" t="s">
        <v>1138</v>
      </c>
      <c r="C26" s="426"/>
      <c r="D26" s="426"/>
      <c r="E26" s="426"/>
      <c r="F26" s="426"/>
      <c r="G26" s="426"/>
      <c r="H26" s="422"/>
      <c r="I26" s="427"/>
    </row>
    <row r="27" spans="1:9" ht="12" customHeight="1">
      <c r="A27" s="428"/>
      <c r="B27" s="429" t="s">
        <v>120</v>
      </c>
      <c r="C27" s="443"/>
      <c r="D27" s="443"/>
      <c r="E27" s="443"/>
      <c r="F27" s="443"/>
      <c r="G27" s="443"/>
      <c r="H27" s="422"/>
      <c r="I27" s="738"/>
    </row>
    <row r="28" spans="1:9" ht="12" customHeight="1">
      <c r="A28" s="428"/>
      <c r="B28" s="431" t="s">
        <v>314</v>
      </c>
      <c r="C28" s="443"/>
      <c r="D28" s="443"/>
      <c r="E28" s="443"/>
      <c r="F28" s="443"/>
      <c r="G28" s="443"/>
      <c r="H28" s="422"/>
      <c r="I28" s="738"/>
    </row>
    <row r="29" spans="1:9" ht="12" customHeight="1">
      <c r="A29" s="428"/>
      <c r="B29" s="432" t="s">
        <v>299</v>
      </c>
      <c r="C29" s="1099">
        <v>0</v>
      </c>
      <c r="D29" s="443">
        <v>15000</v>
      </c>
      <c r="E29" s="443">
        <v>15000</v>
      </c>
      <c r="F29" s="443">
        <v>15000</v>
      </c>
      <c r="G29" s="443">
        <v>15000</v>
      </c>
      <c r="H29" s="744">
        <f>SUM(G29/F29)</f>
        <v>1</v>
      </c>
      <c r="I29" s="738"/>
    </row>
    <row r="30" spans="1:9" ht="12" customHeight="1">
      <c r="A30" s="428"/>
      <c r="B30" s="433" t="s">
        <v>125</v>
      </c>
      <c r="C30" s="443"/>
      <c r="D30" s="443"/>
      <c r="E30" s="443"/>
      <c r="F30" s="443"/>
      <c r="G30" s="443"/>
      <c r="H30" s="422"/>
      <c r="I30" s="430"/>
    </row>
    <row r="31" spans="1:9" ht="12" customHeight="1">
      <c r="A31" s="428"/>
      <c r="B31" s="433" t="s">
        <v>308</v>
      </c>
      <c r="C31" s="426"/>
      <c r="D31" s="426"/>
      <c r="E31" s="426"/>
      <c r="F31" s="426"/>
      <c r="G31" s="426"/>
      <c r="H31" s="422"/>
      <c r="I31" s="430"/>
    </row>
    <row r="32" spans="1:9" ht="12" customHeight="1" thickBot="1">
      <c r="A32" s="428"/>
      <c r="B32" s="434" t="s">
        <v>93</v>
      </c>
      <c r="C32" s="435"/>
      <c r="D32" s="435"/>
      <c r="E32" s="435"/>
      <c r="F32" s="435"/>
      <c r="G32" s="435"/>
      <c r="H32" s="1182"/>
      <c r="I32" s="436"/>
    </row>
    <row r="33" spans="1:9" ht="13.5" customHeight="1" thickBot="1">
      <c r="A33" s="437"/>
      <c r="B33" s="438" t="s">
        <v>142</v>
      </c>
      <c r="C33" s="758">
        <f>SUM(C29:C32)</f>
        <v>0</v>
      </c>
      <c r="D33" s="761">
        <f>SUM(D29:D32)</f>
        <v>15000</v>
      </c>
      <c r="E33" s="761">
        <f>SUM(E29:E32)</f>
        <v>15000</v>
      </c>
      <c r="F33" s="761">
        <f>SUM(F29:F32)</f>
        <v>15000</v>
      </c>
      <c r="G33" s="1236">
        <f>SUM(G29:G32)</f>
        <v>15000</v>
      </c>
      <c r="H33" s="1185">
        <f>SUM(G33/F33)</f>
        <v>1</v>
      </c>
      <c r="I33" s="439"/>
    </row>
    <row r="34" spans="1:9" ht="12">
      <c r="A34" s="424">
        <v>3060</v>
      </c>
      <c r="B34" s="440" t="s">
        <v>91</v>
      </c>
      <c r="C34" s="759">
        <f>SUM(C42+C50)</f>
        <v>8500</v>
      </c>
      <c r="D34" s="762">
        <f>SUM(D42+D50)</f>
        <v>10944</v>
      </c>
      <c r="E34" s="762">
        <f>SUM(E42+E50)</f>
        <v>10944</v>
      </c>
      <c r="F34" s="762">
        <f>SUM(F42+F50)</f>
        <v>10944</v>
      </c>
      <c r="G34" s="762">
        <f>SUM(G42+G50)</f>
        <v>10944</v>
      </c>
      <c r="H34" s="422">
        <f>SUM(G34/F34)</f>
        <v>1</v>
      </c>
      <c r="I34" s="427"/>
    </row>
    <row r="35" spans="1:9" ht="12" customHeight="1">
      <c r="A35" s="424">
        <v>3061</v>
      </c>
      <c r="B35" s="441" t="s">
        <v>126</v>
      </c>
      <c r="C35" s="426"/>
      <c r="D35" s="426"/>
      <c r="E35" s="426"/>
      <c r="F35" s="426"/>
      <c r="G35" s="426"/>
      <c r="H35" s="422"/>
      <c r="I35" s="740"/>
    </row>
    <row r="36" spans="1:9" ht="12" customHeight="1">
      <c r="A36" s="428"/>
      <c r="B36" s="429" t="s">
        <v>120</v>
      </c>
      <c r="C36" s="443"/>
      <c r="D36" s="443"/>
      <c r="E36" s="443"/>
      <c r="F36" s="443"/>
      <c r="G36" s="443"/>
      <c r="H36" s="422"/>
      <c r="I36" s="442"/>
    </row>
    <row r="37" spans="1:9" ht="12" customHeight="1">
      <c r="A37" s="428"/>
      <c r="B37" s="431" t="s">
        <v>314</v>
      </c>
      <c r="C37" s="443"/>
      <c r="D37" s="443"/>
      <c r="E37" s="443"/>
      <c r="F37" s="443"/>
      <c r="G37" s="443"/>
      <c r="H37" s="422"/>
      <c r="I37" s="442"/>
    </row>
    <row r="38" spans="1:9" ht="12" customHeight="1">
      <c r="A38" s="444"/>
      <c r="B38" s="432" t="s">
        <v>299</v>
      </c>
      <c r="C38" s="443">
        <v>2500</v>
      </c>
      <c r="D38" s="443">
        <v>3206</v>
      </c>
      <c r="E38" s="443">
        <v>3206</v>
      </c>
      <c r="F38" s="443">
        <v>3206</v>
      </c>
      <c r="G38" s="443">
        <v>3206</v>
      </c>
      <c r="H38" s="744">
        <f>SUM(G38/F38)</f>
        <v>1</v>
      </c>
      <c r="I38" s="442"/>
    </row>
    <row r="39" spans="1:9" ht="12" customHeight="1">
      <c r="A39" s="444"/>
      <c r="B39" s="433" t="s">
        <v>125</v>
      </c>
      <c r="C39" s="443"/>
      <c r="D39" s="443"/>
      <c r="E39" s="443"/>
      <c r="F39" s="443"/>
      <c r="G39" s="443"/>
      <c r="H39" s="422"/>
      <c r="I39" s="442"/>
    </row>
    <row r="40" spans="1:9" ht="12">
      <c r="A40" s="444"/>
      <c r="B40" s="433" t="s">
        <v>308</v>
      </c>
      <c r="C40" s="443"/>
      <c r="D40" s="443"/>
      <c r="E40" s="443"/>
      <c r="F40" s="443"/>
      <c r="G40" s="443"/>
      <c r="H40" s="422"/>
      <c r="I40" s="442"/>
    </row>
    <row r="41" spans="1:9" ht="12.75" thickBot="1">
      <c r="A41" s="444" t="s">
        <v>294</v>
      </c>
      <c r="B41" s="434" t="s">
        <v>93</v>
      </c>
      <c r="C41" s="760"/>
      <c r="D41" s="760"/>
      <c r="E41" s="760"/>
      <c r="F41" s="760"/>
      <c r="G41" s="760"/>
      <c r="H41" s="1182"/>
      <c r="I41" s="445"/>
    </row>
    <row r="42" spans="1:9" ht="12.75" thickBot="1">
      <c r="A42" s="446"/>
      <c r="B42" s="438" t="s">
        <v>142</v>
      </c>
      <c r="C42" s="761">
        <f>SUM(C36:C41)</f>
        <v>2500</v>
      </c>
      <c r="D42" s="761">
        <f>SUM(D36:D41)</f>
        <v>3206</v>
      </c>
      <c r="E42" s="761">
        <f>SUM(E36:E41)</f>
        <v>3206</v>
      </c>
      <c r="F42" s="761">
        <f>SUM(F36:F41)</f>
        <v>3206</v>
      </c>
      <c r="G42" s="761">
        <f>SUM(G36:G41)</f>
        <v>3206</v>
      </c>
      <c r="H42" s="1185">
        <f>SUM(G42/F42)</f>
        <v>1</v>
      </c>
      <c r="I42" s="447"/>
    </row>
    <row r="43" spans="1:9" ht="12">
      <c r="A43" s="448">
        <v>3071</v>
      </c>
      <c r="B43" s="425" t="s">
        <v>145</v>
      </c>
      <c r="C43" s="762"/>
      <c r="D43" s="762"/>
      <c r="E43" s="762"/>
      <c r="F43" s="762"/>
      <c r="G43" s="762"/>
      <c r="H43" s="422"/>
      <c r="I43" s="640" t="s">
        <v>167</v>
      </c>
    </row>
    <row r="44" spans="1:9" ht="12" customHeight="1">
      <c r="A44" s="444"/>
      <c r="B44" s="429" t="s">
        <v>120</v>
      </c>
      <c r="C44" s="763"/>
      <c r="D44" s="763"/>
      <c r="E44" s="763"/>
      <c r="F44" s="763"/>
      <c r="G44" s="763"/>
      <c r="H44" s="422"/>
      <c r="I44" s="641" t="s">
        <v>168</v>
      </c>
    </row>
    <row r="45" spans="1:9" ht="12" customHeight="1">
      <c r="A45" s="428"/>
      <c r="B45" s="431" t="s">
        <v>314</v>
      </c>
      <c r="C45" s="763"/>
      <c r="D45" s="763"/>
      <c r="E45" s="763"/>
      <c r="F45" s="763"/>
      <c r="G45" s="763"/>
      <c r="H45" s="422"/>
      <c r="I45" s="430"/>
    </row>
    <row r="46" spans="1:9" ht="12" customHeight="1">
      <c r="A46" s="428"/>
      <c r="B46" s="432" t="s">
        <v>299</v>
      </c>
      <c r="C46" s="763">
        <v>6000</v>
      </c>
      <c r="D46" s="763">
        <v>7738</v>
      </c>
      <c r="E46" s="763">
        <v>7738</v>
      </c>
      <c r="F46" s="763">
        <v>7738</v>
      </c>
      <c r="G46" s="763">
        <v>7738</v>
      </c>
      <c r="H46" s="744">
        <f>SUM(G46/F46)</f>
        <v>1</v>
      </c>
      <c r="I46" s="642"/>
    </row>
    <row r="47" spans="1:9" ht="12" customHeight="1">
      <c r="A47" s="428"/>
      <c r="B47" s="433" t="s">
        <v>125</v>
      </c>
      <c r="C47" s="763"/>
      <c r="D47" s="763"/>
      <c r="E47" s="763"/>
      <c r="F47" s="763"/>
      <c r="G47" s="763"/>
      <c r="H47" s="422"/>
      <c r="I47" s="642"/>
    </row>
    <row r="48" spans="1:9" ht="12" customHeight="1">
      <c r="A48" s="428"/>
      <c r="B48" s="433" t="s">
        <v>308</v>
      </c>
      <c r="C48" s="763"/>
      <c r="D48" s="763"/>
      <c r="E48" s="763"/>
      <c r="F48" s="763"/>
      <c r="G48" s="763"/>
      <c r="H48" s="422"/>
      <c r="I48" s="738"/>
    </row>
    <row r="49" spans="1:9" ht="12" customHeight="1" thickBot="1">
      <c r="A49" s="428"/>
      <c r="B49" s="434" t="s">
        <v>93</v>
      </c>
      <c r="C49" s="764"/>
      <c r="D49" s="764"/>
      <c r="E49" s="764"/>
      <c r="F49" s="764"/>
      <c r="G49" s="764"/>
      <c r="H49" s="1182"/>
      <c r="I49" s="487"/>
    </row>
    <row r="50" spans="1:9" ht="12" customHeight="1" thickBot="1">
      <c r="A50" s="453"/>
      <c r="B50" s="438" t="s">
        <v>142</v>
      </c>
      <c r="C50" s="765">
        <f>SUM(C46:C49)</f>
        <v>6000</v>
      </c>
      <c r="D50" s="765">
        <f>SUM(D46:D49)</f>
        <v>7738</v>
      </c>
      <c r="E50" s="765">
        <f>SUM(E46:E49)</f>
        <v>7738</v>
      </c>
      <c r="F50" s="765">
        <f>SUM(F46:F49)</f>
        <v>7738</v>
      </c>
      <c r="G50" s="765">
        <f>SUM(G46:G49)</f>
        <v>7738</v>
      </c>
      <c r="H50" s="1185">
        <f>SUM(G50/F50)</f>
        <v>1</v>
      </c>
      <c r="I50" s="643"/>
    </row>
    <row r="51" spans="1:9" ht="12" customHeight="1">
      <c r="A51" s="448">
        <v>3080</v>
      </c>
      <c r="B51" s="455" t="s">
        <v>94</v>
      </c>
      <c r="C51" s="762">
        <f>SUM(C59)</f>
        <v>20000</v>
      </c>
      <c r="D51" s="762">
        <f>SUM(D59)</f>
        <v>21311</v>
      </c>
      <c r="E51" s="762">
        <f>SUM(E59)</f>
        <v>21311</v>
      </c>
      <c r="F51" s="762">
        <f>SUM(F59)</f>
        <v>21311</v>
      </c>
      <c r="G51" s="762">
        <f>SUM(G59)</f>
        <v>21311</v>
      </c>
      <c r="H51" s="422">
        <f>SUM(G51/F51)</f>
        <v>1</v>
      </c>
      <c r="I51" s="640"/>
    </row>
    <row r="52" spans="1:9" ht="12" customHeight="1">
      <c r="A52" s="448">
        <v>3081</v>
      </c>
      <c r="B52" s="441" t="s">
        <v>149</v>
      </c>
      <c r="C52" s="762"/>
      <c r="D52" s="762"/>
      <c r="E52" s="762"/>
      <c r="F52" s="762"/>
      <c r="G52" s="762"/>
      <c r="H52" s="422"/>
      <c r="I52" s="741"/>
    </row>
    <row r="53" spans="1:9" ht="12" customHeight="1">
      <c r="A53" s="444"/>
      <c r="B53" s="429" t="s">
        <v>120</v>
      </c>
      <c r="C53" s="763"/>
      <c r="D53" s="763"/>
      <c r="E53" s="763"/>
      <c r="F53" s="763"/>
      <c r="G53" s="763"/>
      <c r="H53" s="422"/>
      <c r="I53" s="738"/>
    </row>
    <row r="54" spans="1:9" ht="12" customHeight="1">
      <c r="A54" s="444"/>
      <c r="B54" s="431" t="s">
        <v>314</v>
      </c>
      <c r="C54" s="763"/>
      <c r="D54" s="763"/>
      <c r="E54" s="763"/>
      <c r="F54" s="763"/>
      <c r="G54" s="763"/>
      <c r="H54" s="422"/>
      <c r="I54" s="739"/>
    </row>
    <row r="55" spans="1:9" ht="12" customHeight="1">
      <c r="A55" s="444"/>
      <c r="B55" s="432" t="s">
        <v>299</v>
      </c>
      <c r="C55" s="763">
        <v>15000</v>
      </c>
      <c r="D55" s="763">
        <v>16311</v>
      </c>
      <c r="E55" s="763">
        <v>16311</v>
      </c>
      <c r="F55" s="763">
        <v>8311</v>
      </c>
      <c r="G55" s="763">
        <v>8311</v>
      </c>
      <c r="H55" s="744">
        <f>SUM(G55/F55)</f>
        <v>1</v>
      </c>
      <c r="I55" s="738"/>
    </row>
    <row r="56" spans="1:9" ht="12" customHeight="1">
      <c r="A56" s="444"/>
      <c r="B56" s="432" t="s">
        <v>92</v>
      </c>
      <c r="C56" s="763">
        <v>5000</v>
      </c>
      <c r="D56" s="763">
        <v>5000</v>
      </c>
      <c r="E56" s="763">
        <v>5000</v>
      </c>
      <c r="F56" s="763">
        <v>13000</v>
      </c>
      <c r="G56" s="763">
        <v>13000</v>
      </c>
      <c r="H56" s="744">
        <f>SUM(G56/F56)</f>
        <v>1</v>
      </c>
      <c r="I56" s="739"/>
    </row>
    <row r="57" spans="1:9" ht="12" customHeight="1">
      <c r="A57" s="444"/>
      <c r="B57" s="433" t="s">
        <v>308</v>
      </c>
      <c r="C57" s="763"/>
      <c r="D57" s="763"/>
      <c r="E57" s="763"/>
      <c r="F57" s="763"/>
      <c r="G57" s="763"/>
      <c r="H57" s="422"/>
      <c r="I57" s="641"/>
    </row>
    <row r="58" spans="1:9" ht="12" customHeight="1" thickBot="1">
      <c r="A58" s="428"/>
      <c r="B58" s="434" t="s">
        <v>93</v>
      </c>
      <c r="C58" s="764"/>
      <c r="D58" s="764"/>
      <c r="E58" s="764"/>
      <c r="F58" s="764"/>
      <c r="G58" s="764"/>
      <c r="H58" s="1182"/>
      <c r="I58" s="487"/>
    </row>
    <row r="59" spans="1:9" ht="12" customHeight="1" thickBot="1">
      <c r="A59" s="453"/>
      <c r="B59" s="438" t="s">
        <v>142</v>
      </c>
      <c r="C59" s="761">
        <f>SUM(C53:C58)</f>
        <v>20000</v>
      </c>
      <c r="D59" s="761">
        <f>SUM(D53:D58)</f>
        <v>21311</v>
      </c>
      <c r="E59" s="761">
        <f>SUM(E53:E58)</f>
        <v>21311</v>
      </c>
      <c r="F59" s="761">
        <f>SUM(F53:F58)</f>
        <v>21311</v>
      </c>
      <c r="G59" s="761">
        <f>SUM(G53:G58)</f>
        <v>21311</v>
      </c>
      <c r="H59" s="1185">
        <f>SUM(G59/F59)</f>
        <v>1</v>
      </c>
      <c r="I59" s="454"/>
    </row>
    <row r="60" spans="1:9" ht="12" customHeight="1" thickBot="1">
      <c r="A60" s="457">
        <v>3130</v>
      </c>
      <c r="B60" s="458" t="s">
        <v>383</v>
      </c>
      <c r="C60" s="761">
        <f>SUM(C61+C95)</f>
        <v>1539000</v>
      </c>
      <c r="D60" s="761">
        <f>SUM(D61+D95)</f>
        <v>1608554</v>
      </c>
      <c r="E60" s="761">
        <f>SUM(E61+E95)</f>
        <v>1608554</v>
      </c>
      <c r="F60" s="761">
        <f>SUM(F61+F95)</f>
        <v>1608554</v>
      </c>
      <c r="G60" s="761">
        <f>SUM(G61+G95)</f>
        <v>1608554</v>
      </c>
      <c r="H60" s="1185">
        <f>SUM(G60/F60)</f>
        <v>1</v>
      </c>
      <c r="I60" s="454"/>
    </row>
    <row r="61" spans="1:9" ht="12" customHeight="1" thickBot="1">
      <c r="A61" s="448">
        <v>3110</v>
      </c>
      <c r="B61" s="458" t="s">
        <v>381</v>
      </c>
      <c r="C61" s="761">
        <f>SUM(C69+C86+C94+C77)</f>
        <v>1449000</v>
      </c>
      <c r="D61" s="761">
        <f>SUM(D69+D86+D94+D77)</f>
        <v>1513290</v>
      </c>
      <c r="E61" s="761">
        <f>SUM(E69+E86+E94+E77)</f>
        <v>1513290</v>
      </c>
      <c r="F61" s="761">
        <f>SUM(F69+F86+F94+F77)</f>
        <v>1513290</v>
      </c>
      <c r="G61" s="761">
        <f>SUM(G69+G86+G94+G77)</f>
        <v>1513290</v>
      </c>
      <c r="H61" s="1185">
        <f>SUM(G61/F61)</f>
        <v>1</v>
      </c>
      <c r="I61" s="454"/>
    </row>
    <row r="62" spans="1:9" ht="12" customHeight="1">
      <c r="A62" s="459">
        <v>3111</v>
      </c>
      <c r="B62" s="460" t="s">
        <v>166</v>
      </c>
      <c r="C62" s="426"/>
      <c r="D62" s="426"/>
      <c r="E62" s="426"/>
      <c r="F62" s="426"/>
      <c r="G62" s="426"/>
      <c r="H62" s="422"/>
      <c r="I62" s="365" t="s">
        <v>169</v>
      </c>
    </row>
    <row r="63" spans="1:9" ht="12" customHeight="1">
      <c r="A63" s="428"/>
      <c r="B63" s="429" t="s">
        <v>120</v>
      </c>
      <c r="C63" s="443"/>
      <c r="D63" s="443"/>
      <c r="E63" s="443"/>
      <c r="F63" s="443"/>
      <c r="G63" s="443"/>
      <c r="H63" s="422"/>
      <c r="I63" s="450"/>
    </row>
    <row r="64" spans="1:9" ht="12" customHeight="1">
      <c r="A64" s="428"/>
      <c r="B64" s="431" t="s">
        <v>314</v>
      </c>
      <c r="C64" s="443"/>
      <c r="D64" s="443"/>
      <c r="E64" s="443"/>
      <c r="F64" s="443"/>
      <c r="G64" s="443"/>
      <c r="H64" s="422"/>
      <c r="I64" s="450"/>
    </row>
    <row r="65" spans="1:9" ht="12" customHeight="1">
      <c r="A65" s="428"/>
      <c r="B65" s="432" t="s">
        <v>299</v>
      </c>
      <c r="C65" s="443"/>
      <c r="D65" s="443"/>
      <c r="E65" s="443"/>
      <c r="F65" s="443"/>
      <c r="G65" s="443"/>
      <c r="H65" s="422"/>
      <c r="I65" s="450"/>
    </row>
    <row r="66" spans="1:9" ht="12" customHeight="1">
      <c r="A66" s="428"/>
      <c r="B66" s="433" t="s">
        <v>125</v>
      </c>
      <c r="C66" s="443"/>
      <c r="D66" s="443"/>
      <c r="E66" s="443"/>
      <c r="F66" s="443"/>
      <c r="G66" s="443"/>
      <c r="H66" s="422"/>
      <c r="I66" s="578"/>
    </row>
    <row r="67" spans="1:9" ht="12" customHeight="1">
      <c r="A67" s="428"/>
      <c r="B67" s="433" t="s">
        <v>308</v>
      </c>
      <c r="C67" s="443"/>
      <c r="D67" s="443"/>
      <c r="E67" s="443"/>
      <c r="F67" s="443"/>
      <c r="G67" s="443"/>
      <c r="H67" s="422"/>
      <c r="I67" s="450"/>
    </row>
    <row r="68" spans="1:9" ht="12" customHeight="1" thickBot="1">
      <c r="A68" s="428"/>
      <c r="B68" s="434" t="s">
        <v>286</v>
      </c>
      <c r="C68" s="760">
        <v>1200000</v>
      </c>
      <c r="D68" s="760">
        <v>1209943</v>
      </c>
      <c r="E68" s="760">
        <v>1209943</v>
      </c>
      <c r="F68" s="760">
        <v>1209943</v>
      </c>
      <c r="G68" s="760">
        <v>1209943</v>
      </c>
      <c r="H68" s="744">
        <f>SUM(G68/F68)</f>
        <v>1</v>
      </c>
      <c r="I68" s="450"/>
    </row>
    <row r="69" spans="1:9" ht="12" customHeight="1" thickBot="1">
      <c r="A69" s="453"/>
      <c r="B69" s="438" t="s">
        <v>142</v>
      </c>
      <c r="C69" s="761">
        <f>SUM(C63:C68)</f>
        <v>1200000</v>
      </c>
      <c r="D69" s="761">
        <f>SUM(D63:D68)</f>
        <v>1209943</v>
      </c>
      <c r="E69" s="761">
        <f>SUM(E63:E68)</f>
        <v>1209943</v>
      </c>
      <c r="F69" s="761">
        <f>SUM(F63:F68)</f>
        <v>1209943</v>
      </c>
      <c r="G69" s="1236">
        <f>SUM(G63:G68)</f>
        <v>1209943</v>
      </c>
      <c r="H69" s="1182">
        <f>SUM(G69/F69)</f>
        <v>1</v>
      </c>
      <c r="I69" s="454"/>
    </row>
    <row r="70" spans="1:9" ht="12" customHeight="1">
      <c r="A70" s="459">
        <v>3112</v>
      </c>
      <c r="B70" s="460" t="s">
        <v>455</v>
      </c>
      <c r="C70" s="426"/>
      <c r="D70" s="426"/>
      <c r="E70" s="426"/>
      <c r="F70" s="426"/>
      <c r="G70" s="426"/>
      <c r="H70" s="422"/>
      <c r="I70" s="365"/>
    </row>
    <row r="71" spans="1:9" ht="12" customHeight="1">
      <c r="A71" s="428"/>
      <c r="B71" s="429" t="s">
        <v>120</v>
      </c>
      <c r="C71" s="443"/>
      <c r="D71" s="443"/>
      <c r="E71" s="443"/>
      <c r="F71" s="443"/>
      <c r="G71" s="443"/>
      <c r="H71" s="422"/>
      <c r="I71" s="450"/>
    </row>
    <row r="72" spans="1:9" ht="12" customHeight="1">
      <c r="A72" s="428"/>
      <c r="B72" s="431" t="s">
        <v>314</v>
      </c>
      <c r="C72" s="443"/>
      <c r="D72" s="443"/>
      <c r="E72" s="443"/>
      <c r="F72" s="443"/>
      <c r="G72" s="443"/>
      <c r="H72" s="422"/>
      <c r="I72" s="450"/>
    </row>
    <row r="73" spans="1:9" ht="12" customHeight="1">
      <c r="A73" s="428"/>
      <c r="B73" s="432" t="s">
        <v>299</v>
      </c>
      <c r="C73" s="443">
        <v>25000</v>
      </c>
      <c r="D73" s="443">
        <v>55856</v>
      </c>
      <c r="E73" s="443">
        <v>55856</v>
      </c>
      <c r="F73" s="443">
        <v>55856</v>
      </c>
      <c r="G73" s="443">
        <v>55856</v>
      </c>
      <c r="H73" s="744">
        <f>SUM(G73/F73)</f>
        <v>1</v>
      </c>
      <c r="I73" s="450"/>
    </row>
    <row r="74" spans="1:9" ht="12" customHeight="1">
      <c r="A74" s="428"/>
      <c r="B74" s="433" t="s">
        <v>125</v>
      </c>
      <c r="C74" s="443"/>
      <c r="D74" s="443"/>
      <c r="E74" s="443"/>
      <c r="F74" s="443"/>
      <c r="G74" s="443"/>
      <c r="H74" s="422"/>
      <c r="I74" s="578"/>
    </row>
    <row r="75" spans="1:9" ht="12" customHeight="1">
      <c r="A75" s="428"/>
      <c r="B75" s="433" t="s">
        <v>308</v>
      </c>
      <c r="C75" s="443"/>
      <c r="D75" s="443"/>
      <c r="E75" s="443"/>
      <c r="F75" s="443"/>
      <c r="G75" s="443"/>
      <c r="H75" s="422"/>
      <c r="I75" s="450"/>
    </row>
    <row r="76" spans="1:9" ht="12" customHeight="1" thickBot="1">
      <c r="A76" s="428"/>
      <c r="B76" s="434" t="s">
        <v>93</v>
      </c>
      <c r="C76" s="760"/>
      <c r="D76" s="760"/>
      <c r="E76" s="760"/>
      <c r="F76" s="760"/>
      <c r="G76" s="760"/>
      <c r="H76" s="1182"/>
      <c r="I76" s="450"/>
    </row>
    <row r="77" spans="1:9" ht="12" customHeight="1" thickBot="1">
      <c r="A77" s="453"/>
      <c r="B77" s="438" t="s">
        <v>142</v>
      </c>
      <c r="C77" s="761">
        <f>SUM(C71:C76)</f>
        <v>25000</v>
      </c>
      <c r="D77" s="761">
        <f>SUM(D71:D76)</f>
        <v>55856</v>
      </c>
      <c r="E77" s="761">
        <f>SUM(E71:E76)</f>
        <v>55856</v>
      </c>
      <c r="F77" s="761">
        <f>SUM(F71:F76)</f>
        <v>55856</v>
      </c>
      <c r="G77" s="761">
        <f>SUM(G71:G76)</f>
        <v>55856</v>
      </c>
      <c r="H77" s="1185">
        <f>SUM(G77/F77)</f>
        <v>1</v>
      </c>
      <c r="I77" s="454"/>
    </row>
    <row r="78" spans="1:9" ht="12" customHeight="1">
      <c r="A78" s="359">
        <v>3114</v>
      </c>
      <c r="B78" s="461" t="s">
        <v>128</v>
      </c>
      <c r="C78" s="367"/>
      <c r="D78" s="367"/>
      <c r="E78" s="367"/>
      <c r="F78" s="367"/>
      <c r="G78" s="367"/>
      <c r="H78" s="422"/>
      <c r="I78" s="462"/>
    </row>
    <row r="79" spans="1:9" ht="12" customHeight="1">
      <c r="A79" s="292"/>
      <c r="B79" s="371" t="s">
        <v>120</v>
      </c>
      <c r="C79" s="298"/>
      <c r="D79" s="298"/>
      <c r="E79" s="298"/>
      <c r="F79" s="298"/>
      <c r="G79" s="298"/>
      <c r="H79" s="422"/>
      <c r="I79" s="450"/>
    </row>
    <row r="80" spans="1:9" ht="12" customHeight="1">
      <c r="A80" s="292"/>
      <c r="B80" s="182" t="s">
        <v>314</v>
      </c>
      <c r="C80" s="298"/>
      <c r="D80" s="298"/>
      <c r="E80" s="298"/>
      <c r="F80" s="298"/>
      <c r="G80" s="298"/>
      <c r="H80" s="422"/>
      <c r="I80" s="450"/>
    </row>
    <row r="81" spans="1:9" ht="12" customHeight="1">
      <c r="A81" s="292"/>
      <c r="B81" s="372" t="s">
        <v>299</v>
      </c>
      <c r="C81" s="298">
        <v>154000</v>
      </c>
      <c r="D81" s="298">
        <v>164424</v>
      </c>
      <c r="E81" s="298">
        <v>164424</v>
      </c>
      <c r="F81" s="298">
        <v>145659</v>
      </c>
      <c r="G81" s="1216">
        <v>136383</v>
      </c>
      <c r="H81" s="744">
        <f>SUM(G81/F81)</f>
        <v>0.9363170143966387</v>
      </c>
      <c r="I81" s="442"/>
    </row>
    <row r="82" spans="1:9" ht="12" customHeight="1">
      <c r="A82" s="292"/>
      <c r="B82" s="299" t="s">
        <v>125</v>
      </c>
      <c r="C82" s="298"/>
      <c r="D82" s="298"/>
      <c r="E82" s="298"/>
      <c r="F82" s="298"/>
      <c r="G82" s="298"/>
      <c r="H82" s="422"/>
      <c r="I82" s="442"/>
    </row>
    <row r="83" spans="1:9" ht="12" customHeight="1">
      <c r="A83" s="292"/>
      <c r="B83" s="299" t="s">
        <v>308</v>
      </c>
      <c r="C83" s="298"/>
      <c r="D83" s="298"/>
      <c r="E83" s="298"/>
      <c r="F83" s="298"/>
      <c r="G83" s="298"/>
      <c r="H83" s="422"/>
      <c r="I83" s="450"/>
    </row>
    <row r="84" spans="1:9" ht="12" customHeight="1">
      <c r="A84" s="292"/>
      <c r="B84" s="434" t="s">
        <v>266</v>
      </c>
      <c r="C84" s="373"/>
      <c r="D84" s="373">
        <v>8791</v>
      </c>
      <c r="E84" s="373">
        <v>8791</v>
      </c>
      <c r="F84" s="373">
        <v>27556</v>
      </c>
      <c r="G84" s="1218">
        <v>36832</v>
      </c>
      <c r="H84" s="1186">
        <f>SUM(G84/F84)</f>
        <v>1.3366236028451155</v>
      </c>
      <c r="I84" s="451"/>
    </row>
    <row r="85" spans="1:9" ht="12" customHeight="1" thickBot="1">
      <c r="A85" s="292"/>
      <c r="B85" s="1149" t="s">
        <v>265</v>
      </c>
      <c r="C85" s="766"/>
      <c r="D85" s="766">
        <v>447</v>
      </c>
      <c r="E85" s="766">
        <v>447</v>
      </c>
      <c r="F85" s="766">
        <v>447</v>
      </c>
      <c r="G85" s="766">
        <v>447</v>
      </c>
      <c r="H85" s="1187">
        <f>SUM(G85/F85)</f>
        <v>1</v>
      </c>
      <c r="I85" s="1150"/>
    </row>
    <row r="86" spans="1:9" ht="12" customHeight="1" thickBot="1">
      <c r="A86" s="382"/>
      <c r="B86" s="438" t="s">
        <v>142</v>
      </c>
      <c r="C86" s="377">
        <f>SUM(C79:C84)</f>
        <v>154000</v>
      </c>
      <c r="D86" s="377">
        <f>SUM(D79:D85)</f>
        <v>173662</v>
      </c>
      <c r="E86" s="377">
        <f>SUM(E79:E85)</f>
        <v>173662</v>
      </c>
      <c r="F86" s="377">
        <f>SUM(F79:F85)</f>
        <v>173662</v>
      </c>
      <c r="G86" s="1237">
        <f>SUM(G79:G85)</f>
        <v>173662</v>
      </c>
      <c r="H86" s="1185">
        <f>SUM(G86/F86)</f>
        <v>1</v>
      </c>
      <c r="I86" s="454"/>
    </row>
    <row r="87" spans="1:9" ht="12" customHeight="1">
      <c r="A87" s="359">
        <v>3115</v>
      </c>
      <c r="B87" s="461" t="s">
        <v>413</v>
      </c>
      <c r="C87" s="367"/>
      <c r="D87" s="367"/>
      <c r="E87" s="367"/>
      <c r="F87" s="367"/>
      <c r="G87" s="367"/>
      <c r="H87" s="422"/>
      <c r="I87" s="462"/>
    </row>
    <row r="88" spans="1:9" ht="12" customHeight="1">
      <c r="A88" s="292"/>
      <c r="B88" s="371" t="s">
        <v>120</v>
      </c>
      <c r="C88" s="298"/>
      <c r="D88" s="298"/>
      <c r="E88" s="298"/>
      <c r="F88" s="298"/>
      <c r="G88" s="298"/>
      <c r="H88" s="422"/>
      <c r="I88" s="450"/>
    </row>
    <row r="89" spans="1:9" ht="12" customHeight="1">
      <c r="A89" s="292"/>
      <c r="B89" s="182" t="s">
        <v>314</v>
      </c>
      <c r="C89" s="298"/>
      <c r="D89" s="298"/>
      <c r="E89" s="298"/>
      <c r="F89" s="298"/>
      <c r="G89" s="298"/>
      <c r="H89" s="422"/>
      <c r="I89" s="450"/>
    </row>
    <row r="90" spans="1:9" ht="12" customHeight="1">
      <c r="A90" s="292"/>
      <c r="B90" s="372" t="s">
        <v>299</v>
      </c>
      <c r="C90" s="298">
        <v>70000</v>
      </c>
      <c r="D90" s="298">
        <v>73829</v>
      </c>
      <c r="E90" s="298">
        <v>73829</v>
      </c>
      <c r="F90" s="298">
        <v>73829</v>
      </c>
      <c r="G90" s="298">
        <v>73829</v>
      </c>
      <c r="H90" s="744">
        <f>SUM(G90/F90)</f>
        <v>1</v>
      </c>
      <c r="I90" s="442"/>
    </row>
    <row r="91" spans="1:9" ht="12" customHeight="1">
      <c r="A91" s="292"/>
      <c r="B91" s="299" t="s">
        <v>125</v>
      </c>
      <c r="C91" s="298"/>
      <c r="D91" s="298"/>
      <c r="E91" s="298"/>
      <c r="F91" s="298"/>
      <c r="G91" s="298"/>
      <c r="H91" s="422"/>
      <c r="I91" s="442"/>
    </row>
    <row r="92" spans="1:9" ht="12" customHeight="1">
      <c r="A92" s="292"/>
      <c r="B92" s="299" t="s">
        <v>308</v>
      </c>
      <c r="C92" s="298"/>
      <c r="D92" s="298"/>
      <c r="E92" s="298"/>
      <c r="F92" s="298"/>
      <c r="G92" s="298"/>
      <c r="H92" s="422"/>
      <c r="I92" s="450"/>
    </row>
    <row r="93" spans="1:9" ht="12" customHeight="1" thickBot="1">
      <c r="A93" s="370"/>
      <c r="B93" s="477" t="s">
        <v>93</v>
      </c>
      <c r="C93" s="375"/>
      <c r="D93" s="375"/>
      <c r="E93" s="375"/>
      <c r="F93" s="375"/>
      <c r="G93" s="375"/>
      <c r="H93" s="1182"/>
      <c r="I93" s="451"/>
    </row>
    <row r="94" spans="1:9" ht="12" customHeight="1" thickBot="1">
      <c r="A94" s="382"/>
      <c r="B94" s="438" t="s">
        <v>142</v>
      </c>
      <c r="C94" s="377">
        <f>SUM(C89:C93)</f>
        <v>70000</v>
      </c>
      <c r="D94" s="377">
        <f>SUM(D89:D93)</f>
        <v>73829</v>
      </c>
      <c r="E94" s="377">
        <f>SUM(E89:E93)</f>
        <v>73829</v>
      </c>
      <c r="F94" s="377">
        <f>SUM(F89:F93)</f>
        <v>73829</v>
      </c>
      <c r="G94" s="1237">
        <f>SUM(G89:G93)</f>
        <v>73829</v>
      </c>
      <c r="H94" s="1185">
        <f>SUM(G94/F94)</f>
        <v>1</v>
      </c>
      <c r="I94" s="454"/>
    </row>
    <row r="95" spans="1:9" ht="12" customHeight="1" thickBot="1">
      <c r="A95" s="463">
        <v>3120</v>
      </c>
      <c r="B95" s="458" t="s">
        <v>384</v>
      </c>
      <c r="C95" s="377">
        <f>SUM(C103+C111+C119+C127)</f>
        <v>90000</v>
      </c>
      <c r="D95" s="377">
        <f>SUM(D103+D111+D119+D127)</f>
        <v>95264</v>
      </c>
      <c r="E95" s="377">
        <f>SUM(E103+E111+E119+E127)</f>
        <v>95264</v>
      </c>
      <c r="F95" s="377">
        <f>SUM(F103+F111+F119+F127)</f>
        <v>95264</v>
      </c>
      <c r="G95" s="377">
        <f>SUM(G103+G111+G119+G127)</f>
        <v>95264</v>
      </c>
      <c r="H95" s="1185">
        <f>SUM(G95/F95)</f>
        <v>1</v>
      </c>
      <c r="I95" s="454"/>
    </row>
    <row r="96" spans="1:9" ht="12" customHeight="1">
      <c r="A96" s="74">
        <v>3121</v>
      </c>
      <c r="B96" s="464" t="s">
        <v>195</v>
      </c>
      <c r="C96" s="367"/>
      <c r="D96" s="367"/>
      <c r="E96" s="367"/>
      <c r="F96" s="367"/>
      <c r="G96" s="367"/>
      <c r="H96" s="422"/>
      <c r="I96" s="449"/>
    </row>
    <row r="97" spans="1:9" ht="12" customHeight="1">
      <c r="A97" s="74"/>
      <c r="B97" s="371" t="s">
        <v>120</v>
      </c>
      <c r="C97" s="367"/>
      <c r="D97" s="367"/>
      <c r="E97" s="367"/>
      <c r="F97" s="367"/>
      <c r="G97" s="367"/>
      <c r="H97" s="422"/>
      <c r="I97" s="423"/>
    </row>
    <row r="98" spans="1:9" ht="12" customHeight="1">
      <c r="A98" s="74"/>
      <c r="B98" s="182" t="s">
        <v>314</v>
      </c>
      <c r="C98" s="367"/>
      <c r="D98" s="367"/>
      <c r="E98" s="367"/>
      <c r="F98" s="367"/>
      <c r="G98" s="367"/>
      <c r="H98" s="422"/>
      <c r="I98" s="423"/>
    </row>
    <row r="99" spans="1:9" ht="12" customHeight="1">
      <c r="A99" s="359"/>
      <c r="B99" s="372" t="s">
        <v>299</v>
      </c>
      <c r="C99" s="767">
        <v>25000</v>
      </c>
      <c r="D99" s="767">
        <v>25294</v>
      </c>
      <c r="E99" s="767">
        <v>25294</v>
      </c>
      <c r="F99" s="767">
        <v>25294</v>
      </c>
      <c r="G99" s="767">
        <v>25294</v>
      </c>
      <c r="H99" s="744">
        <f>SUM(G99/F99)</f>
        <v>1</v>
      </c>
      <c r="I99" s="442"/>
    </row>
    <row r="100" spans="1:9" ht="12" customHeight="1">
      <c r="A100" s="359"/>
      <c r="B100" s="299" t="s">
        <v>308</v>
      </c>
      <c r="C100" s="767"/>
      <c r="D100" s="767"/>
      <c r="E100" s="767"/>
      <c r="F100" s="767"/>
      <c r="G100" s="767"/>
      <c r="H100" s="422"/>
      <c r="I100" s="465"/>
    </row>
    <row r="101" spans="1:9" ht="12" customHeight="1">
      <c r="A101" s="74"/>
      <c r="B101" s="299" t="s">
        <v>308</v>
      </c>
      <c r="C101" s="367"/>
      <c r="D101" s="367"/>
      <c r="E101" s="367"/>
      <c r="F101" s="367"/>
      <c r="G101" s="367"/>
      <c r="H101" s="422"/>
      <c r="I101" s="423"/>
    </row>
    <row r="102" spans="1:9" ht="12" customHeight="1" thickBot="1">
      <c r="A102" s="74"/>
      <c r="B102" s="434" t="s">
        <v>93</v>
      </c>
      <c r="C102" s="768"/>
      <c r="D102" s="768"/>
      <c r="E102" s="768"/>
      <c r="F102" s="768"/>
      <c r="G102" s="768"/>
      <c r="H102" s="1182"/>
      <c r="I102" s="418"/>
    </row>
    <row r="103" spans="1:9" ht="12" customHeight="1" thickBot="1">
      <c r="A103" s="382"/>
      <c r="B103" s="438" t="s">
        <v>142</v>
      </c>
      <c r="C103" s="377">
        <f>SUM(C99:C102)</f>
        <v>25000</v>
      </c>
      <c r="D103" s="377">
        <f>SUM(D99:D102)</f>
        <v>25294</v>
      </c>
      <c r="E103" s="377">
        <f>SUM(E99:E102)</f>
        <v>25294</v>
      </c>
      <c r="F103" s="377">
        <f>SUM(F99:F102)</f>
        <v>25294</v>
      </c>
      <c r="G103" s="1237">
        <f>SUM(G99:G102)</f>
        <v>25294</v>
      </c>
      <c r="H103" s="1185">
        <f>SUM(G103/F103)</f>
        <v>1</v>
      </c>
      <c r="I103" s="454"/>
    </row>
    <row r="104" spans="1:9" ht="12" customHeight="1">
      <c r="A104" s="359">
        <v>3122</v>
      </c>
      <c r="B104" s="461" t="s">
        <v>188</v>
      </c>
      <c r="C104" s="367"/>
      <c r="D104" s="367"/>
      <c r="E104" s="367"/>
      <c r="F104" s="367"/>
      <c r="G104" s="367"/>
      <c r="H104" s="422"/>
      <c r="I104" s="466"/>
    </row>
    <row r="105" spans="1:9" ht="12" customHeight="1">
      <c r="A105" s="292"/>
      <c r="B105" s="371" t="s">
        <v>120</v>
      </c>
      <c r="C105" s="298"/>
      <c r="D105" s="298"/>
      <c r="E105" s="298"/>
      <c r="F105" s="298"/>
      <c r="G105" s="298"/>
      <c r="H105" s="422"/>
      <c r="I105" s="450"/>
    </row>
    <row r="106" spans="1:9" ht="12" customHeight="1">
      <c r="A106" s="292"/>
      <c r="B106" s="182" t="s">
        <v>314</v>
      </c>
      <c r="C106" s="298"/>
      <c r="D106" s="298"/>
      <c r="E106" s="298"/>
      <c r="F106" s="298"/>
      <c r="G106" s="298"/>
      <c r="H106" s="422"/>
      <c r="I106" s="450"/>
    </row>
    <row r="107" spans="1:9" ht="12" customHeight="1">
      <c r="A107" s="292"/>
      <c r="B107" s="372" t="s">
        <v>299</v>
      </c>
      <c r="C107" s="298">
        <v>25000</v>
      </c>
      <c r="D107" s="298">
        <v>26661</v>
      </c>
      <c r="E107" s="298">
        <v>26661</v>
      </c>
      <c r="F107" s="298">
        <v>26661</v>
      </c>
      <c r="G107" s="298">
        <v>26661</v>
      </c>
      <c r="H107" s="744">
        <f>SUM(G107/F107)</f>
        <v>1</v>
      </c>
      <c r="I107" s="442"/>
    </row>
    <row r="108" spans="1:9" ht="12" customHeight="1">
      <c r="A108" s="292"/>
      <c r="B108" s="299" t="s">
        <v>125</v>
      </c>
      <c r="C108" s="298"/>
      <c r="D108" s="298"/>
      <c r="E108" s="298"/>
      <c r="F108" s="298"/>
      <c r="G108" s="298"/>
      <c r="H108" s="422"/>
      <c r="I108" s="450"/>
    </row>
    <row r="109" spans="1:9" ht="12" customHeight="1">
      <c r="A109" s="292"/>
      <c r="B109" s="299" t="s">
        <v>308</v>
      </c>
      <c r="C109" s="298"/>
      <c r="D109" s="298"/>
      <c r="E109" s="298"/>
      <c r="F109" s="298"/>
      <c r="G109" s="298"/>
      <c r="H109" s="422"/>
      <c r="I109" s="450"/>
    </row>
    <row r="110" spans="1:9" ht="12" customHeight="1" thickBot="1">
      <c r="A110" s="292"/>
      <c r="B110" s="434" t="s">
        <v>93</v>
      </c>
      <c r="C110" s="769"/>
      <c r="D110" s="769"/>
      <c r="E110" s="769"/>
      <c r="F110" s="769"/>
      <c r="G110" s="769"/>
      <c r="H110" s="1182"/>
      <c r="I110" s="450"/>
    </row>
    <row r="111" spans="1:9" ht="12" customHeight="1" thickBot="1">
      <c r="A111" s="361"/>
      <c r="B111" s="438" t="s">
        <v>142</v>
      </c>
      <c r="C111" s="377">
        <f>SUM(C105:C110)</f>
        <v>25000</v>
      </c>
      <c r="D111" s="377">
        <f>SUM(D105:D110)</f>
        <v>26661</v>
      </c>
      <c r="E111" s="377">
        <f>SUM(E105:E110)</f>
        <v>26661</v>
      </c>
      <c r="F111" s="377">
        <f>SUM(F105:F110)</f>
        <v>26661</v>
      </c>
      <c r="G111" s="1237">
        <f>SUM(G105:G110)</f>
        <v>26661</v>
      </c>
      <c r="H111" s="1185">
        <f>SUM(G111/F111)</f>
        <v>1</v>
      </c>
      <c r="I111" s="454"/>
    </row>
    <row r="112" spans="1:9" ht="12" customHeight="1">
      <c r="A112" s="359">
        <v>3123</v>
      </c>
      <c r="B112" s="212" t="s">
        <v>127</v>
      </c>
      <c r="C112" s="367"/>
      <c r="D112" s="367"/>
      <c r="E112" s="367"/>
      <c r="F112" s="367"/>
      <c r="G112" s="367"/>
      <c r="H112" s="422"/>
      <c r="I112" s="365"/>
    </row>
    <row r="113" spans="1:9" ht="12" customHeight="1">
      <c r="A113" s="292"/>
      <c r="B113" s="371" t="s">
        <v>120</v>
      </c>
      <c r="C113" s="298"/>
      <c r="D113" s="298"/>
      <c r="E113" s="298"/>
      <c r="F113" s="298"/>
      <c r="G113" s="298"/>
      <c r="H113" s="422"/>
      <c r="I113" s="450"/>
    </row>
    <row r="114" spans="1:9" ht="12" customHeight="1">
      <c r="A114" s="292"/>
      <c r="B114" s="182" t="s">
        <v>314</v>
      </c>
      <c r="C114" s="298"/>
      <c r="D114" s="298"/>
      <c r="E114" s="298"/>
      <c r="F114" s="298"/>
      <c r="G114" s="298"/>
      <c r="H114" s="422"/>
      <c r="I114" s="450"/>
    </row>
    <row r="115" spans="1:9" ht="12" customHeight="1">
      <c r="A115" s="292"/>
      <c r="B115" s="372" t="s">
        <v>299</v>
      </c>
      <c r="C115" s="298">
        <v>30000</v>
      </c>
      <c r="D115" s="298">
        <v>32787</v>
      </c>
      <c r="E115" s="298">
        <v>32787</v>
      </c>
      <c r="F115" s="298">
        <v>32787</v>
      </c>
      <c r="G115" s="298">
        <v>32787</v>
      </c>
      <c r="H115" s="744">
        <f>SUM(G115/F115)</f>
        <v>1</v>
      </c>
      <c r="I115" s="442"/>
    </row>
    <row r="116" spans="1:9" ht="12" customHeight="1">
      <c r="A116" s="292"/>
      <c r="B116" s="299" t="s">
        <v>125</v>
      </c>
      <c r="C116" s="298"/>
      <c r="D116" s="298"/>
      <c r="E116" s="298"/>
      <c r="F116" s="298"/>
      <c r="G116" s="298"/>
      <c r="H116" s="422"/>
      <c r="I116" s="450"/>
    </row>
    <row r="117" spans="1:9" ht="12" customHeight="1">
      <c r="A117" s="292"/>
      <c r="B117" s="299" t="s">
        <v>308</v>
      </c>
      <c r="C117" s="298"/>
      <c r="D117" s="298"/>
      <c r="E117" s="298"/>
      <c r="F117" s="298"/>
      <c r="G117" s="298"/>
      <c r="H117" s="422"/>
      <c r="I117" s="450"/>
    </row>
    <row r="118" spans="1:9" ht="12" customHeight="1" thickBot="1">
      <c r="A118" s="292"/>
      <c r="B118" s="434" t="s">
        <v>93</v>
      </c>
      <c r="C118" s="769"/>
      <c r="D118" s="769"/>
      <c r="E118" s="769"/>
      <c r="F118" s="769"/>
      <c r="G118" s="769"/>
      <c r="H118" s="1182"/>
      <c r="I118" s="450"/>
    </row>
    <row r="119" spans="1:9" ht="12" customHeight="1" thickBot="1">
      <c r="A119" s="361"/>
      <c r="B119" s="438" t="s">
        <v>142</v>
      </c>
      <c r="C119" s="377">
        <f>SUM(C113:C118)</f>
        <v>30000</v>
      </c>
      <c r="D119" s="377">
        <f>SUM(D113:D118)</f>
        <v>32787</v>
      </c>
      <c r="E119" s="377">
        <f>SUM(E113:E118)</f>
        <v>32787</v>
      </c>
      <c r="F119" s="377">
        <f>SUM(F113:F118)</f>
        <v>32787</v>
      </c>
      <c r="G119" s="1237">
        <f>SUM(G113:G118)</f>
        <v>32787</v>
      </c>
      <c r="H119" s="1185">
        <f>SUM(G119/F119)</f>
        <v>1</v>
      </c>
      <c r="I119" s="454"/>
    </row>
    <row r="120" spans="1:9" ht="12" customHeight="1">
      <c r="A120" s="359">
        <v>3124</v>
      </c>
      <c r="B120" s="212" t="s">
        <v>130</v>
      </c>
      <c r="C120" s="367"/>
      <c r="D120" s="367"/>
      <c r="E120" s="367"/>
      <c r="F120" s="367"/>
      <c r="G120" s="367"/>
      <c r="H120" s="422"/>
      <c r="I120" s="365" t="s">
        <v>169</v>
      </c>
    </row>
    <row r="121" spans="1:9" ht="12" customHeight="1">
      <c r="A121" s="292"/>
      <c r="B121" s="371" t="s">
        <v>120</v>
      </c>
      <c r="C121" s="298"/>
      <c r="D121" s="298"/>
      <c r="E121" s="298"/>
      <c r="F121" s="298"/>
      <c r="G121" s="298"/>
      <c r="H121" s="422"/>
      <c r="I121" s="450"/>
    </row>
    <row r="122" spans="1:9" ht="12" customHeight="1">
      <c r="A122" s="292"/>
      <c r="B122" s="182" t="s">
        <v>314</v>
      </c>
      <c r="C122" s="298"/>
      <c r="D122" s="298"/>
      <c r="E122" s="298"/>
      <c r="F122" s="298"/>
      <c r="G122" s="298"/>
      <c r="H122" s="422"/>
      <c r="I122" s="450"/>
    </row>
    <row r="123" spans="1:9" ht="12" customHeight="1">
      <c r="A123" s="292"/>
      <c r="B123" s="372" t="s">
        <v>299</v>
      </c>
      <c r="C123" s="298">
        <v>10000</v>
      </c>
      <c r="D123" s="298">
        <v>10522</v>
      </c>
      <c r="E123" s="298">
        <v>10522</v>
      </c>
      <c r="F123" s="298">
        <v>10522</v>
      </c>
      <c r="G123" s="298">
        <v>10522</v>
      </c>
      <c r="H123" s="744">
        <f>SUM(G123/F123)</f>
        <v>1</v>
      </c>
      <c r="I123" s="442"/>
    </row>
    <row r="124" spans="1:9" ht="12" customHeight="1">
      <c r="A124" s="292"/>
      <c r="B124" s="299" t="s">
        <v>308</v>
      </c>
      <c r="C124" s="298"/>
      <c r="D124" s="298"/>
      <c r="E124" s="298"/>
      <c r="F124" s="298"/>
      <c r="G124" s="298"/>
      <c r="H124" s="422"/>
      <c r="I124" s="450"/>
    </row>
    <row r="125" spans="1:9" ht="12" customHeight="1">
      <c r="A125" s="292"/>
      <c r="B125" s="299" t="s">
        <v>308</v>
      </c>
      <c r="C125" s="298"/>
      <c r="D125" s="298"/>
      <c r="E125" s="298"/>
      <c r="F125" s="298"/>
      <c r="G125" s="298"/>
      <c r="H125" s="422"/>
      <c r="I125" s="450"/>
    </row>
    <row r="126" spans="1:9" ht="12" customHeight="1" thickBot="1">
      <c r="A126" s="292"/>
      <c r="B126" s="434" t="s">
        <v>93</v>
      </c>
      <c r="C126" s="769"/>
      <c r="D126" s="769"/>
      <c r="E126" s="769"/>
      <c r="F126" s="769"/>
      <c r="G126" s="769"/>
      <c r="H126" s="1182"/>
      <c r="I126" s="450"/>
    </row>
    <row r="127" spans="1:9" ht="12" customHeight="1" thickBot="1">
      <c r="A127" s="361"/>
      <c r="B127" s="438" t="s">
        <v>142</v>
      </c>
      <c r="C127" s="377">
        <f>SUM(C121:C126)</f>
        <v>10000</v>
      </c>
      <c r="D127" s="377">
        <f>SUM(D121:D126)</f>
        <v>10522</v>
      </c>
      <c r="E127" s="377">
        <f>SUM(E121:E126)</f>
        <v>10522</v>
      </c>
      <c r="F127" s="377">
        <f>SUM(F121:F126)</f>
        <v>10522</v>
      </c>
      <c r="G127" s="1237">
        <f>SUM(G121:G126)</f>
        <v>10522</v>
      </c>
      <c r="H127" s="1185">
        <f>SUM(G127/F127)</f>
        <v>1</v>
      </c>
      <c r="I127" s="454"/>
    </row>
    <row r="128" spans="1:9" ht="12" customHeight="1">
      <c r="A128" s="359">
        <v>3125</v>
      </c>
      <c r="B128" s="212" t="s">
        <v>1134</v>
      </c>
      <c r="C128" s="367"/>
      <c r="D128" s="367"/>
      <c r="E128" s="367"/>
      <c r="F128" s="367"/>
      <c r="G128" s="367"/>
      <c r="H128" s="422"/>
      <c r="I128" s="365"/>
    </row>
    <row r="129" spans="1:9" ht="12" customHeight="1">
      <c r="A129" s="292"/>
      <c r="B129" s="371" t="s">
        <v>120</v>
      </c>
      <c r="C129" s="298"/>
      <c r="D129" s="298"/>
      <c r="E129" s="298"/>
      <c r="F129" s="298"/>
      <c r="G129" s="298"/>
      <c r="H129" s="422"/>
      <c r="I129" s="450"/>
    </row>
    <row r="130" spans="1:9" ht="12" customHeight="1">
      <c r="A130" s="292"/>
      <c r="B130" s="182" t="s">
        <v>314</v>
      </c>
      <c r="C130" s="298"/>
      <c r="D130" s="298"/>
      <c r="E130" s="298"/>
      <c r="F130" s="298"/>
      <c r="G130" s="298"/>
      <c r="H130" s="422"/>
      <c r="I130" s="450"/>
    </row>
    <row r="131" spans="1:9" ht="12" customHeight="1">
      <c r="A131" s="292"/>
      <c r="B131" s="372" t="s">
        <v>299</v>
      </c>
      <c r="C131" s="298"/>
      <c r="D131" s="298">
        <v>23375</v>
      </c>
      <c r="E131" s="298">
        <v>23375</v>
      </c>
      <c r="F131" s="298">
        <v>23375</v>
      </c>
      <c r="G131" s="298">
        <v>23375</v>
      </c>
      <c r="H131" s="744">
        <f>SUM(G131/F131)</f>
        <v>1</v>
      </c>
      <c r="I131" s="442"/>
    </row>
    <row r="132" spans="1:9" ht="12" customHeight="1">
      <c r="A132" s="292"/>
      <c r="B132" s="299" t="s">
        <v>308</v>
      </c>
      <c r="C132" s="298"/>
      <c r="D132" s="298"/>
      <c r="E132" s="298"/>
      <c r="F132" s="298"/>
      <c r="G132" s="298"/>
      <c r="H132" s="422"/>
      <c r="I132" s="450"/>
    </row>
    <row r="133" spans="1:9" ht="12" customHeight="1">
      <c r="A133" s="292"/>
      <c r="B133" s="299" t="s">
        <v>308</v>
      </c>
      <c r="C133" s="298"/>
      <c r="D133" s="298"/>
      <c r="E133" s="298"/>
      <c r="F133" s="298"/>
      <c r="G133" s="298"/>
      <c r="H133" s="422"/>
      <c r="I133" s="450"/>
    </row>
    <row r="134" spans="1:9" ht="12" customHeight="1" thickBot="1">
      <c r="A134" s="292"/>
      <c r="B134" s="434" t="s">
        <v>93</v>
      </c>
      <c r="C134" s="769"/>
      <c r="D134" s="769"/>
      <c r="E134" s="769"/>
      <c r="F134" s="769"/>
      <c r="G134" s="769"/>
      <c r="H134" s="1182"/>
      <c r="I134" s="450"/>
    </row>
    <row r="135" spans="1:9" ht="12" customHeight="1" thickBot="1">
      <c r="A135" s="361"/>
      <c r="B135" s="438" t="s">
        <v>142</v>
      </c>
      <c r="C135" s="377">
        <f>SUM(C129:C134)</f>
        <v>0</v>
      </c>
      <c r="D135" s="377">
        <f>SUM(D129:D134)</f>
        <v>23375</v>
      </c>
      <c r="E135" s="377">
        <f>SUM(E129:E134)</f>
        <v>23375</v>
      </c>
      <c r="F135" s="377">
        <f>SUM(F129:F134)</f>
        <v>23375</v>
      </c>
      <c r="G135" s="1237">
        <f>SUM(G129:G134)</f>
        <v>23375</v>
      </c>
      <c r="H135" s="1185">
        <f>SUM(G135/F135)</f>
        <v>1</v>
      </c>
      <c r="I135" s="454"/>
    </row>
    <row r="136" spans="1:9" ht="12" customHeight="1" thickBot="1">
      <c r="A136" s="463">
        <v>3140</v>
      </c>
      <c r="B136" s="467" t="s">
        <v>131</v>
      </c>
      <c r="C136" s="377">
        <f>SUM(C144+C153+C161+C169+C177+C186)</f>
        <v>43500</v>
      </c>
      <c r="D136" s="377">
        <f>SUM(D144+D153+D161+D169+D177+D186)</f>
        <v>49602</v>
      </c>
      <c r="E136" s="377">
        <f>SUM(E144+E153+E161+E169+E177+E186)</f>
        <v>51102</v>
      </c>
      <c r="F136" s="377">
        <f>SUM(F144+F153+F161+F169+F177+F186)</f>
        <v>51102</v>
      </c>
      <c r="G136" s="377">
        <f>SUM(G144+G153+G161+G169+G177+G186)</f>
        <v>51102</v>
      </c>
      <c r="H136" s="1185">
        <f>SUM(G136/F136)</f>
        <v>1</v>
      </c>
      <c r="I136" s="454"/>
    </row>
    <row r="137" spans="1:9" ht="12" customHeight="1">
      <c r="A137" s="359">
        <v>3141</v>
      </c>
      <c r="B137" s="212" t="s">
        <v>141</v>
      </c>
      <c r="C137" s="367"/>
      <c r="D137" s="367"/>
      <c r="E137" s="367"/>
      <c r="F137" s="367"/>
      <c r="G137" s="367"/>
      <c r="H137" s="422"/>
      <c r="I137" s="450"/>
    </row>
    <row r="138" spans="1:9" ht="12" customHeight="1">
      <c r="A138" s="292"/>
      <c r="B138" s="371" t="s">
        <v>120</v>
      </c>
      <c r="C138" s="298"/>
      <c r="D138" s="298"/>
      <c r="E138" s="298"/>
      <c r="F138" s="298"/>
      <c r="G138" s="298"/>
      <c r="H138" s="422"/>
      <c r="I138" s="579"/>
    </row>
    <row r="139" spans="1:9" ht="12" customHeight="1">
      <c r="A139" s="292"/>
      <c r="B139" s="182" t="s">
        <v>314</v>
      </c>
      <c r="C139" s="298"/>
      <c r="D139" s="298"/>
      <c r="E139" s="298"/>
      <c r="F139" s="298"/>
      <c r="G139" s="298"/>
      <c r="H139" s="422"/>
      <c r="I139" s="578"/>
    </row>
    <row r="140" spans="1:9" ht="12" customHeight="1">
      <c r="A140" s="292"/>
      <c r="B140" s="372" t="s">
        <v>299</v>
      </c>
      <c r="C140" s="298">
        <v>6000</v>
      </c>
      <c r="D140" s="298">
        <v>6000</v>
      </c>
      <c r="E140" s="298">
        <v>6000</v>
      </c>
      <c r="F140" s="298">
        <v>6000</v>
      </c>
      <c r="G140" s="298">
        <v>6000</v>
      </c>
      <c r="H140" s="744">
        <f aca="true" t="shared" si="0" ref="H140:H199">SUM(G140/F140)</f>
        <v>1</v>
      </c>
      <c r="I140" s="578"/>
    </row>
    <row r="141" spans="1:9" ht="12" customHeight="1">
      <c r="A141" s="292"/>
      <c r="B141" s="299" t="s">
        <v>125</v>
      </c>
      <c r="C141" s="298">
        <v>450</v>
      </c>
      <c r="D141" s="298">
        <v>750</v>
      </c>
      <c r="E141" s="298">
        <v>2250</v>
      </c>
      <c r="F141" s="298">
        <v>2250</v>
      </c>
      <c r="G141" s="298">
        <v>2250</v>
      </c>
      <c r="H141" s="744">
        <f t="shared" si="0"/>
        <v>1</v>
      </c>
      <c r="I141" s="578"/>
    </row>
    <row r="142" spans="1:9" ht="12" customHeight="1">
      <c r="A142" s="292"/>
      <c r="B142" s="299" t="s">
        <v>308</v>
      </c>
      <c r="C142" s="767">
        <v>550</v>
      </c>
      <c r="D142" s="767">
        <v>250</v>
      </c>
      <c r="E142" s="767">
        <v>250</v>
      </c>
      <c r="F142" s="767">
        <v>250</v>
      </c>
      <c r="G142" s="767">
        <v>250</v>
      </c>
      <c r="H142" s="744">
        <f t="shared" si="0"/>
        <v>1</v>
      </c>
      <c r="I142" s="578"/>
    </row>
    <row r="143" spans="1:9" ht="12" customHeight="1" thickBot="1">
      <c r="A143" s="292"/>
      <c r="B143" s="434" t="s">
        <v>93</v>
      </c>
      <c r="C143" s="769"/>
      <c r="D143" s="769"/>
      <c r="E143" s="769"/>
      <c r="F143" s="769"/>
      <c r="G143" s="769"/>
      <c r="H143" s="1182"/>
      <c r="I143" s="580"/>
    </row>
    <row r="144" spans="1:9" ht="12" customHeight="1" thickBot="1">
      <c r="A144" s="361"/>
      <c r="B144" s="438" t="s">
        <v>142</v>
      </c>
      <c r="C144" s="377">
        <f>SUM(C138:C143)</f>
        <v>7000</v>
      </c>
      <c r="D144" s="377">
        <f>SUM(D138:D143)</f>
        <v>7000</v>
      </c>
      <c r="E144" s="377">
        <f>SUM(E138:E143)</f>
        <v>8500</v>
      </c>
      <c r="F144" s="377">
        <f>SUM(F138:F143)</f>
        <v>8500</v>
      </c>
      <c r="G144" s="377">
        <f>SUM(G138:G143)</f>
        <v>8500</v>
      </c>
      <c r="H144" s="1185">
        <f t="shared" si="0"/>
        <v>1</v>
      </c>
      <c r="I144" s="454"/>
    </row>
    <row r="145" spans="1:9" ht="12" customHeight="1">
      <c r="A145" s="359">
        <v>3142</v>
      </c>
      <c r="B145" s="381" t="s">
        <v>30</v>
      </c>
      <c r="C145" s="367"/>
      <c r="D145" s="367"/>
      <c r="E145" s="367"/>
      <c r="F145" s="367"/>
      <c r="G145" s="367"/>
      <c r="H145" s="422"/>
      <c r="I145" s="449"/>
    </row>
    <row r="146" spans="1:9" ht="12" customHeight="1">
      <c r="A146" s="359"/>
      <c r="B146" s="371" t="s">
        <v>120</v>
      </c>
      <c r="C146" s="298">
        <v>3000</v>
      </c>
      <c r="D146" s="298">
        <v>4626</v>
      </c>
      <c r="E146" s="298">
        <v>4626</v>
      </c>
      <c r="F146" s="298">
        <v>3826</v>
      </c>
      <c r="G146" s="298">
        <v>3826</v>
      </c>
      <c r="H146" s="744">
        <f t="shared" si="0"/>
        <v>1</v>
      </c>
      <c r="I146" s="579"/>
    </row>
    <row r="147" spans="1:9" ht="12" customHeight="1">
      <c r="A147" s="359"/>
      <c r="B147" s="182" t="s">
        <v>314</v>
      </c>
      <c r="C147" s="298">
        <v>2500</v>
      </c>
      <c r="D147" s="298">
        <v>3879</v>
      </c>
      <c r="E147" s="298">
        <v>3879</v>
      </c>
      <c r="F147" s="298">
        <v>3224</v>
      </c>
      <c r="G147" s="298">
        <v>3224</v>
      </c>
      <c r="H147" s="744">
        <f t="shared" si="0"/>
        <v>1</v>
      </c>
      <c r="I147" s="465"/>
    </row>
    <row r="148" spans="1:9" ht="12" customHeight="1">
      <c r="A148" s="359"/>
      <c r="B148" s="372" t="s">
        <v>299</v>
      </c>
      <c r="C148" s="767">
        <v>4000</v>
      </c>
      <c r="D148" s="767">
        <v>4549</v>
      </c>
      <c r="E148" s="767">
        <v>4549</v>
      </c>
      <c r="F148" s="767">
        <v>5949</v>
      </c>
      <c r="G148" s="767">
        <v>5949</v>
      </c>
      <c r="H148" s="744">
        <f t="shared" si="0"/>
        <v>1</v>
      </c>
      <c r="I148" s="578"/>
    </row>
    <row r="149" spans="1:9" ht="12" customHeight="1">
      <c r="A149" s="359"/>
      <c r="B149" s="299" t="s">
        <v>125</v>
      </c>
      <c r="C149" s="767"/>
      <c r="D149" s="767"/>
      <c r="E149" s="767"/>
      <c r="F149" s="767"/>
      <c r="G149" s="767"/>
      <c r="H149" s="744"/>
      <c r="I149" s="450"/>
    </row>
    <row r="150" spans="1:9" ht="12" customHeight="1">
      <c r="A150" s="359"/>
      <c r="B150" s="299" t="s">
        <v>308</v>
      </c>
      <c r="C150" s="767">
        <v>500</v>
      </c>
      <c r="D150" s="767">
        <v>500</v>
      </c>
      <c r="E150" s="767">
        <v>500</v>
      </c>
      <c r="F150" s="767">
        <v>500</v>
      </c>
      <c r="G150" s="767">
        <v>500</v>
      </c>
      <c r="H150" s="744">
        <f t="shared" si="0"/>
        <v>1</v>
      </c>
      <c r="I150" s="465"/>
    </row>
    <row r="151" spans="1:9" ht="12" customHeight="1">
      <c r="A151" s="359"/>
      <c r="B151" s="299" t="s">
        <v>266</v>
      </c>
      <c r="C151" s="522"/>
      <c r="D151" s="522"/>
      <c r="E151" s="522"/>
      <c r="F151" s="522">
        <v>55</v>
      </c>
      <c r="G151" s="522">
        <v>55</v>
      </c>
      <c r="H151" s="744">
        <f t="shared" si="0"/>
        <v>1</v>
      </c>
      <c r="I151" s="465"/>
    </row>
    <row r="152" spans="1:9" ht="12.75" thickBot="1">
      <c r="A152" s="359"/>
      <c r="B152" s="434" t="s">
        <v>93</v>
      </c>
      <c r="C152" s="388"/>
      <c r="D152" s="388"/>
      <c r="E152" s="388"/>
      <c r="F152" s="388"/>
      <c r="G152" s="388"/>
      <c r="H152" s="1182"/>
      <c r="I152" s="468"/>
    </row>
    <row r="153" spans="1:9" ht="12" customHeight="1" thickBot="1">
      <c r="A153" s="361"/>
      <c r="B153" s="438" t="s">
        <v>142</v>
      </c>
      <c r="C153" s="377">
        <f>SUM(C146:C152)</f>
        <v>10000</v>
      </c>
      <c r="D153" s="377">
        <f>SUM(D146:D152)</f>
        <v>13554</v>
      </c>
      <c r="E153" s="377">
        <f>SUM(E146:E152)</f>
        <v>13554</v>
      </c>
      <c r="F153" s="377">
        <f>SUM(F146:F152)</f>
        <v>13554</v>
      </c>
      <c r="G153" s="377">
        <f>SUM(G146:G152)</f>
        <v>13554</v>
      </c>
      <c r="H153" s="1185">
        <f t="shared" si="0"/>
        <v>1</v>
      </c>
      <c r="I153" s="454"/>
    </row>
    <row r="154" spans="1:9" ht="12" customHeight="1">
      <c r="A154" s="378">
        <v>3143</v>
      </c>
      <c r="B154" s="212" t="s">
        <v>40</v>
      </c>
      <c r="C154" s="367"/>
      <c r="D154" s="367"/>
      <c r="E154" s="367"/>
      <c r="F154" s="367"/>
      <c r="G154" s="367"/>
      <c r="H154" s="422"/>
      <c r="I154" s="419" t="s">
        <v>24</v>
      </c>
    </row>
    <row r="155" spans="1:9" ht="12" customHeight="1">
      <c r="A155" s="292"/>
      <c r="B155" s="371" t="s">
        <v>120</v>
      </c>
      <c r="C155" s="298"/>
      <c r="D155" s="298"/>
      <c r="E155" s="298"/>
      <c r="F155" s="298"/>
      <c r="G155" s="298"/>
      <c r="H155" s="422"/>
      <c r="I155" s="450"/>
    </row>
    <row r="156" spans="1:9" ht="12" customHeight="1">
      <c r="A156" s="292"/>
      <c r="B156" s="182" t="s">
        <v>314</v>
      </c>
      <c r="C156" s="298"/>
      <c r="D156" s="298"/>
      <c r="E156" s="298"/>
      <c r="F156" s="298"/>
      <c r="G156" s="298"/>
      <c r="H156" s="422"/>
      <c r="I156" s="579"/>
    </row>
    <row r="157" spans="1:9" ht="12" customHeight="1">
      <c r="A157" s="292"/>
      <c r="B157" s="372" t="s">
        <v>299</v>
      </c>
      <c r="C157" s="767"/>
      <c r="D157" s="767"/>
      <c r="E157" s="767"/>
      <c r="F157" s="767"/>
      <c r="G157" s="767"/>
      <c r="H157" s="422"/>
      <c r="I157" s="579"/>
    </row>
    <row r="158" spans="1:9" ht="12" customHeight="1">
      <c r="A158" s="292"/>
      <c r="B158" s="299" t="s">
        <v>125</v>
      </c>
      <c r="C158" s="767"/>
      <c r="D158" s="767"/>
      <c r="E158" s="767"/>
      <c r="F158" s="767"/>
      <c r="G158" s="767"/>
      <c r="H158" s="422"/>
      <c r="I158" s="578"/>
    </row>
    <row r="159" spans="1:9" ht="12" customHeight="1">
      <c r="A159" s="292"/>
      <c r="B159" s="299" t="s">
        <v>308</v>
      </c>
      <c r="C159" s="298">
        <v>11000</v>
      </c>
      <c r="D159" s="298">
        <v>10830</v>
      </c>
      <c r="E159" s="298">
        <v>10830</v>
      </c>
      <c r="F159" s="298">
        <v>10430</v>
      </c>
      <c r="G159" s="298">
        <v>10430</v>
      </c>
      <c r="H159" s="1186">
        <f t="shared" si="0"/>
        <v>1</v>
      </c>
      <c r="I159" s="450"/>
    </row>
    <row r="160" spans="1:9" ht="12" customHeight="1" thickBot="1">
      <c r="A160" s="292"/>
      <c r="B160" s="434" t="s">
        <v>286</v>
      </c>
      <c r="C160" s="766"/>
      <c r="D160" s="766">
        <v>1060</v>
      </c>
      <c r="E160" s="766">
        <v>1060</v>
      </c>
      <c r="F160" s="766">
        <v>1460</v>
      </c>
      <c r="G160" s="766">
        <v>1460</v>
      </c>
      <c r="H160" s="1187">
        <f t="shared" si="0"/>
        <v>1</v>
      </c>
      <c r="I160" s="423"/>
    </row>
    <row r="161" spans="1:9" ht="12" customHeight="1" thickBot="1">
      <c r="A161" s="361"/>
      <c r="B161" s="438" t="s">
        <v>142</v>
      </c>
      <c r="C161" s="377">
        <f>SUM(C155:C160)</f>
        <v>11000</v>
      </c>
      <c r="D161" s="377">
        <f>SUM(D155:D160)</f>
        <v>11890</v>
      </c>
      <c r="E161" s="377">
        <f>SUM(E155:E160)</f>
        <v>11890</v>
      </c>
      <c r="F161" s="377">
        <f>SUM(F155:F160)</f>
        <v>11890</v>
      </c>
      <c r="G161" s="377">
        <f>SUM(G155:G160)</f>
        <v>11890</v>
      </c>
      <c r="H161" s="1185">
        <f t="shared" si="0"/>
        <v>1</v>
      </c>
      <c r="I161" s="454"/>
    </row>
    <row r="162" spans="1:9" ht="12" customHeight="1">
      <c r="A162" s="359">
        <v>3144</v>
      </c>
      <c r="B162" s="212" t="s">
        <v>407</v>
      </c>
      <c r="C162" s="367"/>
      <c r="D162" s="367"/>
      <c r="E162" s="367"/>
      <c r="F162" s="367"/>
      <c r="G162" s="367"/>
      <c r="H162" s="422"/>
      <c r="I162" s="450"/>
    </row>
    <row r="163" spans="1:9" ht="12" customHeight="1">
      <c r="A163" s="292"/>
      <c r="B163" s="371" t="s">
        <v>120</v>
      </c>
      <c r="C163" s="298"/>
      <c r="D163" s="298"/>
      <c r="E163" s="298"/>
      <c r="F163" s="298"/>
      <c r="G163" s="298"/>
      <c r="H163" s="422"/>
      <c r="I163" s="450"/>
    </row>
    <row r="164" spans="1:9" ht="12" customHeight="1">
      <c r="A164" s="292"/>
      <c r="B164" s="182" t="s">
        <v>314</v>
      </c>
      <c r="C164" s="298"/>
      <c r="D164" s="298"/>
      <c r="E164" s="298"/>
      <c r="F164" s="298"/>
      <c r="G164" s="298"/>
      <c r="H164" s="422"/>
      <c r="I164" s="465"/>
    </row>
    <row r="165" spans="1:9" ht="12" customHeight="1">
      <c r="A165" s="292"/>
      <c r="B165" s="372" t="s">
        <v>299</v>
      </c>
      <c r="C165" s="298">
        <v>10</v>
      </c>
      <c r="D165" s="298">
        <v>10</v>
      </c>
      <c r="E165" s="298">
        <v>10</v>
      </c>
      <c r="F165" s="298">
        <v>10</v>
      </c>
      <c r="G165" s="298">
        <v>10</v>
      </c>
      <c r="H165" s="744">
        <f t="shared" si="0"/>
        <v>1</v>
      </c>
      <c r="I165" s="579"/>
    </row>
    <row r="166" spans="1:9" ht="12" customHeight="1">
      <c r="A166" s="292"/>
      <c r="B166" s="299" t="s">
        <v>125</v>
      </c>
      <c r="C166" s="298">
        <v>1490</v>
      </c>
      <c r="D166" s="298">
        <v>1490</v>
      </c>
      <c r="E166" s="298">
        <v>1490</v>
      </c>
      <c r="F166" s="298">
        <v>1490</v>
      </c>
      <c r="G166" s="298">
        <v>1490</v>
      </c>
      <c r="H166" s="744">
        <f t="shared" si="0"/>
        <v>1</v>
      </c>
      <c r="I166" s="578"/>
    </row>
    <row r="167" spans="1:9" ht="12" customHeight="1">
      <c r="A167" s="292"/>
      <c r="B167" s="299" t="s">
        <v>308</v>
      </c>
      <c r="C167" s="298"/>
      <c r="D167" s="298"/>
      <c r="E167" s="298"/>
      <c r="F167" s="298"/>
      <c r="G167" s="298"/>
      <c r="H167" s="422"/>
      <c r="I167" s="450"/>
    </row>
    <row r="168" spans="1:9" ht="12" customHeight="1" thickBot="1">
      <c r="A168" s="292"/>
      <c r="B168" s="434" t="s">
        <v>93</v>
      </c>
      <c r="C168" s="769"/>
      <c r="D168" s="769"/>
      <c r="E168" s="769"/>
      <c r="F168" s="769"/>
      <c r="G168" s="769"/>
      <c r="H168" s="1182"/>
      <c r="I168" s="468"/>
    </row>
    <row r="169" spans="1:9" ht="12" customHeight="1" thickBot="1">
      <c r="A169" s="361"/>
      <c r="B169" s="438" t="s">
        <v>142</v>
      </c>
      <c r="C169" s="377">
        <f>SUM(C163:C168)</f>
        <v>1500</v>
      </c>
      <c r="D169" s="377">
        <f>SUM(D163:D168)</f>
        <v>1500</v>
      </c>
      <c r="E169" s="377">
        <f>SUM(E163:E168)</f>
        <v>1500</v>
      </c>
      <c r="F169" s="377">
        <f>SUM(F163:F168)</f>
        <v>1500</v>
      </c>
      <c r="G169" s="377">
        <f>SUM(G163:G168)</f>
        <v>1500</v>
      </c>
      <c r="H169" s="1185">
        <f t="shared" si="0"/>
        <v>1</v>
      </c>
      <c r="I169" s="454"/>
    </row>
    <row r="170" spans="1:9" ht="12" customHeight="1">
      <c r="A170" s="448">
        <v>3145</v>
      </c>
      <c r="B170" s="425" t="s">
        <v>408</v>
      </c>
      <c r="C170" s="426"/>
      <c r="D170" s="426"/>
      <c r="E170" s="426"/>
      <c r="F170" s="426"/>
      <c r="G170" s="426"/>
      <c r="H170" s="422"/>
      <c r="I170" s="470"/>
    </row>
    <row r="171" spans="1:9" ht="12" customHeight="1">
      <c r="A171" s="444"/>
      <c r="B171" s="429" t="s">
        <v>120</v>
      </c>
      <c r="C171" s="443"/>
      <c r="D171" s="443"/>
      <c r="E171" s="443"/>
      <c r="F171" s="443">
        <v>564</v>
      </c>
      <c r="G171" s="443">
        <v>564</v>
      </c>
      <c r="H171" s="744">
        <f t="shared" si="0"/>
        <v>1</v>
      </c>
      <c r="I171" s="470"/>
    </row>
    <row r="172" spans="1:9" ht="12" customHeight="1">
      <c r="A172" s="444"/>
      <c r="B172" s="431" t="s">
        <v>314</v>
      </c>
      <c r="C172" s="443"/>
      <c r="D172" s="443">
        <v>44</v>
      </c>
      <c r="E172" s="443">
        <v>44</v>
      </c>
      <c r="F172" s="443">
        <v>296</v>
      </c>
      <c r="G172" s="443">
        <v>296</v>
      </c>
      <c r="H172" s="744">
        <f t="shared" si="0"/>
        <v>1</v>
      </c>
      <c r="I172" s="579"/>
    </row>
    <row r="173" spans="1:9" ht="12" customHeight="1">
      <c r="A173" s="444"/>
      <c r="B173" s="432" t="s">
        <v>299</v>
      </c>
      <c r="C173" s="443">
        <v>5000</v>
      </c>
      <c r="D173" s="443">
        <v>5099</v>
      </c>
      <c r="E173" s="443">
        <v>5099</v>
      </c>
      <c r="F173" s="443">
        <v>4283</v>
      </c>
      <c r="G173" s="443">
        <v>4283</v>
      </c>
      <c r="H173" s="744">
        <f t="shared" si="0"/>
        <v>1</v>
      </c>
      <c r="I173" s="470"/>
    </row>
    <row r="174" spans="1:9" ht="12" customHeight="1">
      <c r="A174" s="444"/>
      <c r="B174" s="433" t="s">
        <v>125</v>
      </c>
      <c r="C174" s="443"/>
      <c r="D174" s="443"/>
      <c r="E174" s="443"/>
      <c r="F174" s="443"/>
      <c r="G174" s="443"/>
      <c r="H174" s="422"/>
      <c r="I174" s="471"/>
    </row>
    <row r="175" spans="1:9" ht="12" customHeight="1">
      <c r="A175" s="444"/>
      <c r="B175" s="433" t="s">
        <v>308</v>
      </c>
      <c r="C175" s="443"/>
      <c r="D175" s="443"/>
      <c r="E175" s="443"/>
      <c r="F175" s="443"/>
      <c r="G175" s="443"/>
      <c r="H175" s="422"/>
      <c r="I175" s="470"/>
    </row>
    <row r="176" spans="1:9" ht="12" customHeight="1" thickBot="1">
      <c r="A176" s="444"/>
      <c r="B176" s="434" t="s">
        <v>93</v>
      </c>
      <c r="C176" s="760"/>
      <c r="D176" s="760"/>
      <c r="E176" s="760"/>
      <c r="F176" s="760"/>
      <c r="G176" s="760"/>
      <c r="H176" s="1182"/>
      <c r="I176" s="472"/>
    </row>
    <row r="177" spans="1:9" ht="12" customHeight="1" thickBot="1">
      <c r="A177" s="446"/>
      <c r="B177" s="438" t="s">
        <v>142</v>
      </c>
      <c r="C177" s="761">
        <f>SUM(C171:C176)</f>
        <v>5000</v>
      </c>
      <c r="D177" s="761">
        <f>SUM(D171:D176)</f>
        <v>5143</v>
      </c>
      <c r="E177" s="761">
        <f>SUM(E171:E176)</f>
        <v>5143</v>
      </c>
      <c r="F177" s="761">
        <f>SUM(F171:F176)</f>
        <v>5143</v>
      </c>
      <c r="G177" s="761">
        <f>SUM(G171:G176)</f>
        <v>5143</v>
      </c>
      <c r="H177" s="1185">
        <f t="shared" si="0"/>
        <v>1</v>
      </c>
      <c r="I177" s="473"/>
    </row>
    <row r="178" spans="1:9" ht="12" customHeight="1">
      <c r="A178" s="448">
        <v>3146</v>
      </c>
      <c r="B178" s="425" t="s">
        <v>516</v>
      </c>
      <c r="C178" s="426"/>
      <c r="D178" s="426"/>
      <c r="E178" s="426"/>
      <c r="F178" s="426"/>
      <c r="G178" s="426"/>
      <c r="H178" s="422"/>
      <c r="I178" s="576" t="s">
        <v>25</v>
      </c>
    </row>
    <row r="179" spans="1:9" ht="12" customHeight="1">
      <c r="A179" s="444"/>
      <c r="B179" s="429" t="s">
        <v>120</v>
      </c>
      <c r="C179" s="443">
        <v>2000</v>
      </c>
      <c r="D179" s="443">
        <v>2153</v>
      </c>
      <c r="E179" s="443">
        <v>2153</v>
      </c>
      <c r="F179" s="443">
        <v>2153</v>
      </c>
      <c r="G179" s="1099">
        <v>1953</v>
      </c>
      <c r="H179" s="744">
        <f t="shared" si="0"/>
        <v>0.9071063632141199</v>
      </c>
      <c r="I179" s="470"/>
    </row>
    <row r="180" spans="1:9" ht="12" customHeight="1">
      <c r="A180" s="444"/>
      <c r="B180" s="431" t="s">
        <v>314</v>
      </c>
      <c r="C180" s="443">
        <v>600</v>
      </c>
      <c r="D180" s="443">
        <v>648</v>
      </c>
      <c r="E180" s="443">
        <v>648</v>
      </c>
      <c r="F180" s="443">
        <v>648</v>
      </c>
      <c r="G180" s="1099">
        <v>470</v>
      </c>
      <c r="H180" s="744">
        <f t="shared" si="0"/>
        <v>0.7253086419753086</v>
      </c>
      <c r="I180" s="470"/>
    </row>
    <row r="181" spans="1:9" ht="12" customHeight="1">
      <c r="A181" s="444"/>
      <c r="B181" s="432" t="s">
        <v>299</v>
      </c>
      <c r="C181" s="443">
        <v>1400</v>
      </c>
      <c r="D181" s="443">
        <v>2400</v>
      </c>
      <c r="E181" s="443">
        <v>2400</v>
      </c>
      <c r="F181" s="443">
        <v>2400</v>
      </c>
      <c r="G181" s="1099">
        <v>1000</v>
      </c>
      <c r="H181" s="744">
        <f t="shared" si="0"/>
        <v>0.4166666666666667</v>
      </c>
      <c r="I181" s="579"/>
    </row>
    <row r="182" spans="1:9" ht="12" customHeight="1">
      <c r="A182" s="444"/>
      <c r="B182" s="433" t="s">
        <v>125</v>
      </c>
      <c r="C182" s="443"/>
      <c r="D182" s="443"/>
      <c r="E182" s="443"/>
      <c r="F182" s="443"/>
      <c r="G182" s="1099"/>
      <c r="H182" s="744"/>
      <c r="I182" s="470"/>
    </row>
    <row r="183" spans="1:9" ht="12" customHeight="1">
      <c r="A183" s="444"/>
      <c r="B183" s="433" t="s">
        <v>308</v>
      </c>
      <c r="C183" s="443">
        <v>2500</v>
      </c>
      <c r="D183" s="443">
        <v>2650</v>
      </c>
      <c r="E183" s="443">
        <v>3650</v>
      </c>
      <c r="F183" s="443">
        <v>4650</v>
      </c>
      <c r="G183" s="1099">
        <v>6428</v>
      </c>
      <c r="H183" s="744">
        <f t="shared" si="0"/>
        <v>1.3823655913978494</v>
      </c>
      <c r="I183" s="470"/>
    </row>
    <row r="184" spans="1:9" ht="12" customHeight="1">
      <c r="A184" s="444"/>
      <c r="B184" s="434" t="s">
        <v>266</v>
      </c>
      <c r="C184" s="443">
        <v>500</v>
      </c>
      <c r="D184" s="443">
        <v>664</v>
      </c>
      <c r="E184" s="443">
        <v>664</v>
      </c>
      <c r="F184" s="443">
        <v>664</v>
      </c>
      <c r="G184" s="443">
        <v>664</v>
      </c>
      <c r="H184" s="744">
        <f t="shared" si="0"/>
        <v>1</v>
      </c>
      <c r="I184" s="481"/>
    </row>
    <row r="185" spans="1:9" ht="12" customHeight="1" thickBot="1">
      <c r="A185" s="444"/>
      <c r="B185" s="434" t="s">
        <v>286</v>
      </c>
      <c r="C185" s="770">
        <v>2000</v>
      </c>
      <c r="D185" s="770">
        <v>2000</v>
      </c>
      <c r="E185" s="770">
        <v>1000</v>
      </c>
      <c r="F185" s="770"/>
      <c r="G185" s="770"/>
      <c r="H185" s="1182"/>
      <c r="I185" s="472"/>
    </row>
    <row r="186" spans="1:9" ht="12" customHeight="1" thickBot="1">
      <c r="A186" s="446"/>
      <c r="B186" s="438" t="s">
        <v>142</v>
      </c>
      <c r="C186" s="761">
        <f>SUM(C179:C185)</f>
        <v>9000</v>
      </c>
      <c r="D186" s="761">
        <f>SUM(D179:D185)</f>
        <v>10515</v>
      </c>
      <c r="E186" s="761">
        <f>SUM(E179:E185)</f>
        <v>10515</v>
      </c>
      <c r="F186" s="761">
        <f>SUM(F179:F185)</f>
        <v>10515</v>
      </c>
      <c r="G186" s="761">
        <f>SUM(G179:G185)</f>
        <v>10515</v>
      </c>
      <c r="H186" s="1185">
        <f t="shared" si="0"/>
        <v>1</v>
      </c>
      <c r="I186" s="473"/>
    </row>
    <row r="187" spans="1:9" ht="12.75" thickBot="1">
      <c r="A187" s="463"/>
      <c r="B187" s="474" t="s">
        <v>56</v>
      </c>
      <c r="C187" s="377">
        <f>SUM(C211+C220+C237+C245+C279+C253+C262+C287+C203+C295+C303+C270+C195+C228+C311)</f>
        <v>2860354</v>
      </c>
      <c r="D187" s="377">
        <f>SUM(D211+D220+D237+D245+D279+D253+D262+D287+D203+D295+D303+D270+D195+D228+D311)</f>
        <v>2996919</v>
      </c>
      <c r="E187" s="377">
        <f>SUM(E211+E220+E237+E245+E279+E253+E262+E287+E203+E295+E303+E270+E195+E228+E311)</f>
        <v>3045319</v>
      </c>
      <c r="F187" s="377">
        <f>SUM(F211+F220+F237+F245+F279+F253+F262+F287+F203+F295+F303+F270+F195+F228+F311)</f>
        <v>3048319</v>
      </c>
      <c r="G187" s="377">
        <f>SUM(G211+G220+G237+G245+G279+G253+G262+G287+G203+G295+G303+G270+G195+G228+G311)</f>
        <v>3048319</v>
      </c>
      <c r="H187" s="1185">
        <f t="shared" si="0"/>
        <v>1</v>
      </c>
      <c r="I187" s="454"/>
    </row>
    <row r="188" spans="1:9" ht="12">
      <c r="A188" s="359">
        <v>3200</v>
      </c>
      <c r="B188" s="475" t="s">
        <v>457</v>
      </c>
      <c r="C188" s="367"/>
      <c r="D188" s="367"/>
      <c r="E188" s="367"/>
      <c r="F188" s="367"/>
      <c r="G188" s="367"/>
      <c r="H188" s="422"/>
      <c r="I188" s="419"/>
    </row>
    <row r="189" spans="1:9" ht="12">
      <c r="A189" s="370"/>
      <c r="B189" s="371" t="s">
        <v>120</v>
      </c>
      <c r="C189" s="298">
        <v>99921</v>
      </c>
      <c r="D189" s="298">
        <v>99921</v>
      </c>
      <c r="E189" s="298">
        <v>99921</v>
      </c>
      <c r="F189" s="298">
        <v>99921</v>
      </c>
      <c r="G189" s="1216">
        <v>99917</v>
      </c>
      <c r="H189" s="744">
        <f t="shared" si="0"/>
        <v>0.9999599683750162</v>
      </c>
      <c r="I189" s="73"/>
    </row>
    <row r="190" spans="1:9" ht="12">
      <c r="A190" s="370"/>
      <c r="B190" s="182" t="s">
        <v>314</v>
      </c>
      <c r="C190" s="298">
        <v>21753</v>
      </c>
      <c r="D190" s="298">
        <v>21858</v>
      </c>
      <c r="E190" s="298">
        <v>21858</v>
      </c>
      <c r="F190" s="298">
        <v>21858</v>
      </c>
      <c r="G190" s="1216">
        <v>21858</v>
      </c>
      <c r="H190" s="744">
        <f t="shared" si="0"/>
        <v>1</v>
      </c>
      <c r="I190" s="579"/>
    </row>
    <row r="191" spans="1:9" ht="12">
      <c r="A191" s="292"/>
      <c r="B191" s="372" t="s">
        <v>299</v>
      </c>
      <c r="C191" s="298"/>
      <c r="D191" s="298"/>
      <c r="E191" s="298"/>
      <c r="F191" s="298"/>
      <c r="G191" s="1216">
        <v>4</v>
      </c>
      <c r="H191" s="744"/>
      <c r="I191" s="579"/>
    </row>
    <row r="192" spans="1:9" ht="12">
      <c r="A192" s="292"/>
      <c r="B192" s="299" t="s">
        <v>125</v>
      </c>
      <c r="C192" s="298"/>
      <c r="D192" s="298"/>
      <c r="E192" s="298"/>
      <c r="F192" s="298"/>
      <c r="G192" s="298"/>
      <c r="H192" s="422"/>
      <c r="I192" s="579"/>
    </row>
    <row r="193" spans="1:9" ht="12">
      <c r="A193" s="370"/>
      <c r="B193" s="299" t="s">
        <v>308</v>
      </c>
      <c r="C193" s="298"/>
      <c r="D193" s="298"/>
      <c r="E193" s="298"/>
      <c r="F193" s="298"/>
      <c r="G193" s="298"/>
      <c r="H193" s="422"/>
      <c r="I193" s="581"/>
    </row>
    <row r="194" spans="1:9" ht="12.75" thickBot="1">
      <c r="A194" s="292"/>
      <c r="B194" s="434" t="s">
        <v>93</v>
      </c>
      <c r="C194" s="769"/>
      <c r="D194" s="769"/>
      <c r="E194" s="769"/>
      <c r="F194" s="769"/>
      <c r="G194" s="769"/>
      <c r="H194" s="1182"/>
      <c r="I194" s="452"/>
    </row>
    <row r="195" spans="1:9" ht="12.75" thickBot="1">
      <c r="A195" s="361"/>
      <c r="B195" s="438" t="s">
        <v>142</v>
      </c>
      <c r="C195" s="377">
        <f>SUM(C189:C194)</f>
        <v>121674</v>
      </c>
      <c r="D195" s="377">
        <f>SUM(D189:D194)</f>
        <v>121779</v>
      </c>
      <c r="E195" s="377">
        <f>SUM(E189:E194)</f>
        <v>121779</v>
      </c>
      <c r="F195" s="377">
        <f>SUM(F189:F194)</f>
        <v>121779</v>
      </c>
      <c r="G195" s="1237">
        <f>SUM(G189:G194)</f>
        <v>121779</v>
      </c>
      <c r="H195" s="1185">
        <f t="shared" si="0"/>
        <v>1</v>
      </c>
      <c r="I195" s="454"/>
    </row>
    <row r="196" spans="1:9" ht="12">
      <c r="A196" s="359">
        <v>3201</v>
      </c>
      <c r="B196" s="458" t="s">
        <v>374</v>
      </c>
      <c r="C196" s="367"/>
      <c r="D196" s="367"/>
      <c r="E196" s="367"/>
      <c r="F196" s="367"/>
      <c r="G196" s="367"/>
      <c r="H196" s="422"/>
      <c r="I196" s="419"/>
    </row>
    <row r="197" spans="1:9" ht="12">
      <c r="A197" s="359"/>
      <c r="B197" s="372" t="s">
        <v>120</v>
      </c>
      <c r="C197" s="767">
        <v>25640</v>
      </c>
      <c r="D197" s="767">
        <v>28174</v>
      </c>
      <c r="E197" s="767">
        <v>28174</v>
      </c>
      <c r="F197" s="767">
        <v>28174</v>
      </c>
      <c r="G197" s="1219">
        <v>25474</v>
      </c>
      <c r="H197" s="744">
        <f t="shared" si="0"/>
        <v>0.9041669624476467</v>
      </c>
      <c r="I197" s="579"/>
    </row>
    <row r="198" spans="1:9" ht="12">
      <c r="A198" s="359"/>
      <c r="B198" s="182" t="s">
        <v>314</v>
      </c>
      <c r="C198" s="767">
        <v>6625</v>
      </c>
      <c r="D198" s="767">
        <v>7398</v>
      </c>
      <c r="E198" s="767">
        <v>7398</v>
      </c>
      <c r="F198" s="767">
        <v>7398</v>
      </c>
      <c r="G198" s="1219">
        <v>7398</v>
      </c>
      <c r="H198" s="744">
        <f t="shared" si="0"/>
        <v>1</v>
      </c>
      <c r="I198" s="579"/>
    </row>
    <row r="199" spans="1:9" ht="12">
      <c r="A199" s="359"/>
      <c r="B199" s="372" t="s">
        <v>299</v>
      </c>
      <c r="C199" s="767">
        <v>79197</v>
      </c>
      <c r="D199" s="767">
        <v>97595</v>
      </c>
      <c r="E199" s="767">
        <v>102595</v>
      </c>
      <c r="F199" s="767">
        <v>102595</v>
      </c>
      <c r="G199" s="1219">
        <v>103295</v>
      </c>
      <c r="H199" s="744">
        <f t="shared" si="0"/>
        <v>1.0068229445879429</v>
      </c>
      <c r="I199" s="579"/>
    </row>
    <row r="200" spans="1:9" ht="12">
      <c r="A200" s="359"/>
      <c r="B200" s="476" t="s">
        <v>125</v>
      </c>
      <c r="C200" s="767"/>
      <c r="D200" s="767"/>
      <c r="E200" s="767"/>
      <c r="F200" s="767"/>
      <c r="G200" s="1219"/>
      <c r="H200" s="422"/>
      <c r="I200" s="465"/>
    </row>
    <row r="201" spans="1:9" ht="12">
      <c r="A201" s="359"/>
      <c r="B201" s="476" t="s">
        <v>308</v>
      </c>
      <c r="C201" s="767"/>
      <c r="D201" s="767"/>
      <c r="E201" s="767"/>
      <c r="F201" s="767"/>
      <c r="G201" s="1219">
        <v>2000</v>
      </c>
      <c r="H201" s="422"/>
      <c r="I201" s="423"/>
    </row>
    <row r="202" spans="1:9" ht="12.75" thickBot="1">
      <c r="A202" s="359"/>
      <c r="B202" s="434" t="s">
        <v>93</v>
      </c>
      <c r="C202" s="771"/>
      <c r="D202" s="771"/>
      <c r="E202" s="771"/>
      <c r="F202" s="771"/>
      <c r="G202" s="771"/>
      <c r="H202" s="1182"/>
      <c r="I202" s="423"/>
    </row>
    <row r="203" spans="1:9" ht="12.75" thickBot="1">
      <c r="A203" s="382"/>
      <c r="B203" s="438" t="s">
        <v>142</v>
      </c>
      <c r="C203" s="377">
        <f>SUM(C197:C202)</f>
        <v>111462</v>
      </c>
      <c r="D203" s="377">
        <f>SUM(D197:D202)</f>
        <v>133167</v>
      </c>
      <c r="E203" s="377">
        <f>SUM(E197:E202)</f>
        <v>138167</v>
      </c>
      <c r="F203" s="377">
        <f>SUM(F197:F202)</f>
        <v>138167</v>
      </c>
      <c r="G203" s="1237">
        <f>SUM(G197:G202)</f>
        <v>138167</v>
      </c>
      <c r="H203" s="1185">
        <f>SUM(G203/F203)</f>
        <v>1</v>
      </c>
      <c r="I203" s="454"/>
    </row>
    <row r="204" spans="1:9" ht="12">
      <c r="A204" s="74">
        <v>3202</v>
      </c>
      <c r="B204" s="381" t="s">
        <v>300</v>
      </c>
      <c r="C204" s="367"/>
      <c r="D204" s="367"/>
      <c r="E204" s="367"/>
      <c r="F204" s="367"/>
      <c r="G204" s="367"/>
      <c r="H204" s="422"/>
      <c r="I204" s="576" t="s">
        <v>25</v>
      </c>
    </row>
    <row r="205" spans="1:9" ht="12">
      <c r="A205" s="74"/>
      <c r="B205" s="371" t="s">
        <v>120</v>
      </c>
      <c r="C205" s="767">
        <v>2500</v>
      </c>
      <c r="D205" s="767">
        <v>2833</v>
      </c>
      <c r="E205" s="767">
        <v>2833</v>
      </c>
      <c r="F205" s="767">
        <v>2433</v>
      </c>
      <c r="G205" s="767">
        <v>2433</v>
      </c>
      <c r="H205" s="744">
        <f>SUM(G205/F205)</f>
        <v>1</v>
      </c>
      <c r="I205" s="423"/>
    </row>
    <row r="206" spans="1:9" ht="12">
      <c r="A206" s="74"/>
      <c r="B206" s="182" t="s">
        <v>314</v>
      </c>
      <c r="C206" s="767">
        <v>1300</v>
      </c>
      <c r="D206" s="767">
        <v>1402</v>
      </c>
      <c r="E206" s="767">
        <v>1402</v>
      </c>
      <c r="F206" s="767">
        <v>1202</v>
      </c>
      <c r="G206" s="1219">
        <v>837</v>
      </c>
      <c r="H206" s="744">
        <f>SUM(G206/F206)</f>
        <v>0.6963394342762064</v>
      </c>
      <c r="I206" s="465"/>
    </row>
    <row r="207" spans="1:9" ht="12">
      <c r="A207" s="74"/>
      <c r="B207" s="372" t="s">
        <v>299</v>
      </c>
      <c r="C207" s="767">
        <v>2000</v>
      </c>
      <c r="D207" s="767">
        <v>4040</v>
      </c>
      <c r="E207" s="767">
        <v>4440</v>
      </c>
      <c r="F207" s="767">
        <v>4040</v>
      </c>
      <c r="G207" s="1219">
        <v>4040</v>
      </c>
      <c r="H207" s="744">
        <f>SUM(G207/F207)</f>
        <v>1</v>
      </c>
      <c r="I207" s="579"/>
    </row>
    <row r="208" spans="1:9" ht="12">
      <c r="A208" s="74"/>
      <c r="B208" s="299" t="s">
        <v>125</v>
      </c>
      <c r="C208" s="767"/>
      <c r="D208" s="767"/>
      <c r="E208" s="767"/>
      <c r="F208" s="767"/>
      <c r="G208" s="1219"/>
      <c r="H208" s="744"/>
      <c r="I208" s="465"/>
    </row>
    <row r="209" spans="1:9" ht="12">
      <c r="A209" s="74"/>
      <c r="B209" s="299" t="s">
        <v>308</v>
      </c>
      <c r="C209" s="767">
        <v>4200</v>
      </c>
      <c r="D209" s="767">
        <v>4827</v>
      </c>
      <c r="E209" s="767">
        <v>4827</v>
      </c>
      <c r="F209" s="767">
        <v>5827</v>
      </c>
      <c r="G209" s="1219">
        <v>6192</v>
      </c>
      <c r="H209" s="744">
        <f>SUM(G209/F209)</f>
        <v>1.0626394371031405</v>
      </c>
      <c r="I209" s="465"/>
    </row>
    <row r="210" spans="1:9" ht="12.75" thickBot="1">
      <c r="A210" s="74"/>
      <c r="B210" s="434" t="s">
        <v>286</v>
      </c>
      <c r="C210" s="771"/>
      <c r="D210" s="771"/>
      <c r="E210" s="771"/>
      <c r="F210" s="771"/>
      <c r="G210" s="771"/>
      <c r="H210" s="1182"/>
      <c r="I210" s="452"/>
    </row>
    <row r="211" spans="1:9" ht="12.75" thickBot="1">
      <c r="A211" s="382"/>
      <c r="B211" s="438" t="s">
        <v>142</v>
      </c>
      <c r="C211" s="377">
        <f>SUM(C205:C210)</f>
        <v>10000</v>
      </c>
      <c r="D211" s="377">
        <f>SUM(D205:D210)</f>
        <v>13102</v>
      </c>
      <c r="E211" s="377">
        <f>SUM(E205:E210)</f>
        <v>13502</v>
      </c>
      <c r="F211" s="377">
        <f>SUM(F205:F210)</f>
        <v>13502</v>
      </c>
      <c r="G211" s="377">
        <f>SUM(G205:G210)</f>
        <v>13502</v>
      </c>
      <c r="H211" s="1185">
        <f>SUM(G211/F211)</f>
        <v>1</v>
      </c>
      <c r="I211" s="454"/>
    </row>
    <row r="212" spans="1:9" ht="12">
      <c r="A212" s="74">
        <v>3203</v>
      </c>
      <c r="B212" s="461" t="s">
        <v>177</v>
      </c>
      <c r="C212" s="367"/>
      <c r="D212" s="367"/>
      <c r="E212" s="367"/>
      <c r="F212" s="367"/>
      <c r="G212" s="367"/>
      <c r="H212" s="422"/>
      <c r="I212" s="449" t="s">
        <v>167</v>
      </c>
    </row>
    <row r="213" spans="1:9" ht="12" customHeight="1">
      <c r="A213" s="370"/>
      <c r="B213" s="371" t="s">
        <v>120</v>
      </c>
      <c r="C213" s="298"/>
      <c r="D213" s="298"/>
      <c r="E213" s="298"/>
      <c r="F213" s="298"/>
      <c r="G213" s="298"/>
      <c r="H213" s="422"/>
      <c r="I213" s="423" t="s">
        <v>168</v>
      </c>
    </row>
    <row r="214" spans="1:9" ht="12" customHeight="1">
      <c r="A214" s="370"/>
      <c r="B214" s="182" t="s">
        <v>314</v>
      </c>
      <c r="C214" s="298"/>
      <c r="D214" s="298"/>
      <c r="E214" s="298"/>
      <c r="F214" s="298"/>
      <c r="G214" s="298"/>
      <c r="H214" s="422"/>
      <c r="I214" s="449"/>
    </row>
    <row r="215" spans="1:9" ht="12" customHeight="1">
      <c r="A215" s="370"/>
      <c r="B215" s="372" t="s">
        <v>299</v>
      </c>
      <c r="C215" s="298">
        <v>1500</v>
      </c>
      <c r="D215" s="298">
        <v>1500</v>
      </c>
      <c r="E215" s="298">
        <v>1500</v>
      </c>
      <c r="F215" s="298">
        <v>1500</v>
      </c>
      <c r="G215" s="298">
        <v>1500</v>
      </c>
      <c r="H215" s="744">
        <f>SUM(G215/F215)</f>
        <v>1</v>
      </c>
      <c r="I215" s="578"/>
    </row>
    <row r="216" spans="1:9" ht="12" customHeight="1">
      <c r="A216" s="370"/>
      <c r="B216" s="299" t="s">
        <v>125</v>
      </c>
      <c r="C216" s="298"/>
      <c r="D216" s="298"/>
      <c r="E216" s="298"/>
      <c r="F216" s="298"/>
      <c r="G216" s="298"/>
      <c r="H216" s="744"/>
      <c r="I216" s="578"/>
    </row>
    <row r="217" spans="1:9" ht="12" customHeight="1">
      <c r="A217" s="370"/>
      <c r="B217" s="299" t="s">
        <v>308</v>
      </c>
      <c r="C217" s="298">
        <v>3500</v>
      </c>
      <c r="D217" s="298">
        <v>3500</v>
      </c>
      <c r="E217" s="298">
        <v>3500</v>
      </c>
      <c r="F217" s="298">
        <v>3500</v>
      </c>
      <c r="G217" s="298">
        <v>3500</v>
      </c>
      <c r="H217" s="744">
        <f>SUM(G217/F217)</f>
        <v>1</v>
      </c>
      <c r="I217" s="469"/>
    </row>
    <row r="218" spans="1:9" ht="12">
      <c r="A218" s="370"/>
      <c r="B218" s="477" t="s">
        <v>266</v>
      </c>
      <c r="C218" s="298"/>
      <c r="D218" s="298"/>
      <c r="E218" s="298"/>
      <c r="F218" s="298"/>
      <c r="G218" s="298"/>
      <c r="H218" s="744"/>
      <c r="I218" s="465"/>
    </row>
    <row r="219" spans="1:9" ht="12.75" thickBot="1">
      <c r="A219" s="370"/>
      <c r="B219" s="434" t="s">
        <v>286</v>
      </c>
      <c r="C219" s="766">
        <v>3000</v>
      </c>
      <c r="D219" s="766">
        <v>3000</v>
      </c>
      <c r="E219" s="766">
        <v>3000</v>
      </c>
      <c r="F219" s="766">
        <v>3000</v>
      </c>
      <c r="G219" s="766">
        <v>3000</v>
      </c>
      <c r="H219" s="744">
        <f>SUM(G219/F219)</f>
        <v>1</v>
      </c>
      <c r="I219" s="418"/>
    </row>
    <row r="220" spans="1:9" ht="12" customHeight="1" thickBot="1">
      <c r="A220" s="382"/>
      <c r="B220" s="438" t="s">
        <v>142</v>
      </c>
      <c r="C220" s="377">
        <f>SUM(C213:C219)</f>
        <v>8000</v>
      </c>
      <c r="D220" s="377">
        <f>SUM(D213:D219)</f>
        <v>8000</v>
      </c>
      <c r="E220" s="377">
        <f>SUM(E213:E219)</f>
        <v>8000</v>
      </c>
      <c r="F220" s="377">
        <f>SUM(F213:F219)</f>
        <v>8000</v>
      </c>
      <c r="G220" s="377">
        <f>SUM(G213:G219)</f>
        <v>8000</v>
      </c>
      <c r="H220" s="1182">
        <f>SUM(G220/F220)</f>
        <v>1</v>
      </c>
      <c r="I220" s="454"/>
    </row>
    <row r="221" spans="1:9" ht="12" customHeight="1">
      <c r="A221" s="74">
        <v>3204</v>
      </c>
      <c r="B221" s="461" t="s">
        <v>412</v>
      </c>
      <c r="C221" s="367"/>
      <c r="D221" s="367"/>
      <c r="E221" s="367"/>
      <c r="F221" s="367"/>
      <c r="G221" s="367"/>
      <c r="H221" s="422"/>
      <c r="I221" s="449"/>
    </row>
    <row r="222" spans="1:9" ht="12" customHeight="1">
      <c r="A222" s="370"/>
      <c r="B222" s="371" t="s">
        <v>120</v>
      </c>
      <c r="C222" s="298"/>
      <c r="D222" s="298"/>
      <c r="E222" s="298"/>
      <c r="F222" s="298"/>
      <c r="G222" s="298"/>
      <c r="H222" s="422"/>
      <c r="I222" s="423"/>
    </row>
    <row r="223" spans="1:9" ht="12" customHeight="1">
      <c r="A223" s="370"/>
      <c r="B223" s="182" t="s">
        <v>314</v>
      </c>
      <c r="C223" s="298"/>
      <c r="D223" s="298"/>
      <c r="E223" s="298"/>
      <c r="F223" s="298"/>
      <c r="G223" s="298"/>
      <c r="H223" s="422"/>
      <c r="I223" s="578"/>
    </row>
    <row r="224" spans="1:9" ht="12" customHeight="1">
      <c r="A224" s="370"/>
      <c r="B224" s="372" t="s">
        <v>299</v>
      </c>
      <c r="C224" s="298">
        <v>10200</v>
      </c>
      <c r="D224" s="298">
        <v>10667</v>
      </c>
      <c r="E224" s="298">
        <v>10667</v>
      </c>
      <c r="F224" s="298">
        <v>10667</v>
      </c>
      <c r="G224" s="298">
        <v>10667</v>
      </c>
      <c r="H224" s="744">
        <f>SUM(G224/F224)</f>
        <v>1</v>
      </c>
      <c r="I224" s="578"/>
    </row>
    <row r="225" spans="1:9" ht="12" customHeight="1">
      <c r="A225" s="370"/>
      <c r="B225" s="299" t="s">
        <v>308</v>
      </c>
      <c r="C225" s="298"/>
      <c r="D225" s="298"/>
      <c r="E225" s="298"/>
      <c r="F225" s="298"/>
      <c r="G225" s="298"/>
      <c r="H225" s="422"/>
      <c r="I225" s="469"/>
    </row>
    <row r="226" spans="1:9" ht="12" customHeight="1">
      <c r="A226" s="370"/>
      <c r="B226" s="299" t="s">
        <v>125</v>
      </c>
      <c r="C226" s="298"/>
      <c r="D226" s="298"/>
      <c r="E226" s="298"/>
      <c r="F226" s="298"/>
      <c r="G226" s="298"/>
      <c r="H226" s="422"/>
      <c r="I226" s="423"/>
    </row>
    <row r="227" spans="1:9" ht="12" customHeight="1" thickBot="1">
      <c r="A227" s="370"/>
      <c r="B227" s="434" t="s">
        <v>93</v>
      </c>
      <c r="C227" s="769"/>
      <c r="D227" s="769"/>
      <c r="E227" s="769"/>
      <c r="F227" s="769"/>
      <c r="G227" s="769"/>
      <c r="H227" s="1182"/>
      <c r="I227" s="418"/>
    </row>
    <row r="228" spans="1:9" ht="12" customHeight="1" thickBot="1">
      <c r="A228" s="382"/>
      <c r="B228" s="438" t="s">
        <v>142</v>
      </c>
      <c r="C228" s="377">
        <f>SUM(C222:C227)</f>
        <v>10200</v>
      </c>
      <c r="D228" s="377">
        <f>SUM(D222:D227)</f>
        <v>10667</v>
      </c>
      <c r="E228" s="377">
        <f>SUM(E222:E227)</f>
        <v>10667</v>
      </c>
      <c r="F228" s="377">
        <f>SUM(F222:F227)</f>
        <v>10667</v>
      </c>
      <c r="G228" s="377">
        <f>SUM(G222:G227)</f>
        <v>10667</v>
      </c>
      <c r="H228" s="1185">
        <f>SUM(G228/F228)</f>
        <v>1</v>
      </c>
      <c r="I228" s="454"/>
    </row>
    <row r="229" spans="1:9" ht="12" customHeight="1">
      <c r="A229" s="74">
        <v>3205</v>
      </c>
      <c r="B229" s="461" t="s">
        <v>376</v>
      </c>
      <c r="C229" s="367"/>
      <c r="D229" s="367"/>
      <c r="E229" s="367"/>
      <c r="F229" s="367"/>
      <c r="G229" s="367"/>
      <c r="H229" s="422"/>
      <c r="I229" s="449" t="s">
        <v>167</v>
      </c>
    </row>
    <row r="230" spans="1:9" ht="12" customHeight="1">
      <c r="A230" s="370"/>
      <c r="B230" s="371" t="s">
        <v>120</v>
      </c>
      <c r="C230" s="298">
        <v>4000</v>
      </c>
      <c r="D230" s="298">
        <v>4532</v>
      </c>
      <c r="E230" s="298">
        <v>4532</v>
      </c>
      <c r="F230" s="298">
        <v>4532</v>
      </c>
      <c r="G230" s="1216">
        <v>2532</v>
      </c>
      <c r="H230" s="1186">
        <f>SUM(G230/F230)</f>
        <v>0.558693733451015</v>
      </c>
      <c r="I230" s="423" t="s">
        <v>168</v>
      </c>
    </row>
    <row r="231" spans="1:9" ht="12" customHeight="1">
      <c r="A231" s="370"/>
      <c r="B231" s="182" t="s">
        <v>314</v>
      </c>
      <c r="C231" s="298">
        <v>1000</v>
      </c>
      <c r="D231" s="298">
        <v>1304</v>
      </c>
      <c r="E231" s="298">
        <v>1304</v>
      </c>
      <c r="F231" s="298">
        <v>1304</v>
      </c>
      <c r="G231" s="1216">
        <v>758</v>
      </c>
      <c r="H231" s="744">
        <f>SUM(G231/F231)</f>
        <v>0.5812883435582822</v>
      </c>
      <c r="I231" s="450"/>
    </row>
    <row r="232" spans="1:9" ht="12" customHeight="1">
      <c r="A232" s="292"/>
      <c r="B232" s="372" t="s">
        <v>299</v>
      </c>
      <c r="C232" s="298">
        <v>12500</v>
      </c>
      <c r="D232" s="298">
        <v>16240</v>
      </c>
      <c r="E232" s="298">
        <v>16240</v>
      </c>
      <c r="F232" s="298">
        <v>16240</v>
      </c>
      <c r="G232" s="1216">
        <v>17181</v>
      </c>
      <c r="H232" s="744">
        <f>SUM(G232/F232)</f>
        <v>1.0579433497536945</v>
      </c>
      <c r="I232" s="578"/>
    </row>
    <row r="233" spans="1:9" ht="12" customHeight="1">
      <c r="A233" s="292"/>
      <c r="B233" s="299" t="s">
        <v>125</v>
      </c>
      <c r="C233" s="298"/>
      <c r="D233" s="298"/>
      <c r="E233" s="298"/>
      <c r="F233" s="298"/>
      <c r="G233" s="1216"/>
      <c r="H233" s="744"/>
      <c r="I233" s="578"/>
    </row>
    <row r="234" spans="1:9" ht="12" customHeight="1">
      <c r="A234" s="292"/>
      <c r="B234" s="299" t="s">
        <v>308</v>
      </c>
      <c r="C234" s="298">
        <v>10000</v>
      </c>
      <c r="D234" s="298">
        <v>10552</v>
      </c>
      <c r="E234" s="298">
        <v>10552</v>
      </c>
      <c r="F234" s="298">
        <v>10552</v>
      </c>
      <c r="G234" s="1216">
        <v>14517</v>
      </c>
      <c r="H234" s="744">
        <f>SUM(G234/F234)</f>
        <v>1.3757581501137226</v>
      </c>
      <c r="I234" s="451"/>
    </row>
    <row r="235" spans="1:9" ht="12" customHeight="1">
      <c r="A235" s="292"/>
      <c r="B235" s="299" t="s">
        <v>125</v>
      </c>
      <c r="C235" s="298"/>
      <c r="D235" s="298"/>
      <c r="E235" s="298"/>
      <c r="F235" s="298"/>
      <c r="G235" s="1216"/>
      <c r="H235" s="744"/>
      <c r="I235" s="451"/>
    </row>
    <row r="236" spans="1:9" ht="12" customHeight="1" thickBot="1">
      <c r="A236" s="292"/>
      <c r="B236" s="434" t="s">
        <v>286</v>
      </c>
      <c r="C236" s="766">
        <v>7000</v>
      </c>
      <c r="D236" s="766">
        <v>10183</v>
      </c>
      <c r="E236" s="766">
        <v>10183</v>
      </c>
      <c r="F236" s="766">
        <v>10183</v>
      </c>
      <c r="G236" s="1220">
        <v>7823</v>
      </c>
      <c r="H236" s="1187">
        <f>SUM(G236/F236)</f>
        <v>0.7682411862908769</v>
      </c>
      <c r="I236" s="478"/>
    </row>
    <row r="237" spans="1:9" ht="12" customHeight="1" thickBot="1">
      <c r="A237" s="382"/>
      <c r="B237" s="438" t="s">
        <v>142</v>
      </c>
      <c r="C237" s="377">
        <f>SUM(C230:C236)</f>
        <v>34500</v>
      </c>
      <c r="D237" s="377">
        <f>SUM(D230:D236)</f>
        <v>42811</v>
      </c>
      <c r="E237" s="377">
        <f>SUM(E230:E236)</f>
        <v>42811</v>
      </c>
      <c r="F237" s="377">
        <f>SUM(F230:F236)</f>
        <v>42811</v>
      </c>
      <c r="G237" s="377">
        <f>SUM(G230:G236)</f>
        <v>42811</v>
      </c>
      <c r="H237" s="1185">
        <f>SUM(G237/F237)</f>
        <v>1</v>
      </c>
      <c r="I237" s="479"/>
    </row>
    <row r="238" spans="1:9" ht="12" customHeight="1">
      <c r="A238" s="359">
        <v>3207</v>
      </c>
      <c r="B238" s="461" t="s">
        <v>305</v>
      </c>
      <c r="C238" s="367"/>
      <c r="D238" s="367"/>
      <c r="E238" s="367"/>
      <c r="F238" s="367"/>
      <c r="G238" s="367"/>
      <c r="H238" s="422"/>
      <c r="I238" s="450"/>
    </row>
    <row r="239" spans="1:9" ht="12" customHeight="1">
      <c r="A239" s="292"/>
      <c r="B239" s="371" t="s">
        <v>120</v>
      </c>
      <c r="C239" s="298"/>
      <c r="D239" s="298"/>
      <c r="E239" s="298"/>
      <c r="F239" s="298"/>
      <c r="G239" s="298"/>
      <c r="H239" s="422"/>
      <c r="I239" s="450"/>
    </row>
    <row r="240" spans="1:9" ht="12" customHeight="1">
      <c r="A240" s="292"/>
      <c r="B240" s="182" t="s">
        <v>314</v>
      </c>
      <c r="C240" s="298"/>
      <c r="D240" s="298"/>
      <c r="E240" s="298"/>
      <c r="F240" s="298"/>
      <c r="G240" s="298"/>
      <c r="H240" s="422"/>
      <c r="I240" s="442"/>
    </row>
    <row r="241" spans="1:9" ht="12" customHeight="1">
      <c r="A241" s="292"/>
      <c r="B241" s="372" t="s">
        <v>299</v>
      </c>
      <c r="C241" s="298">
        <v>26500</v>
      </c>
      <c r="D241" s="298">
        <v>28590</v>
      </c>
      <c r="E241" s="298">
        <v>28590</v>
      </c>
      <c r="F241" s="298">
        <v>28590</v>
      </c>
      <c r="G241" s="298">
        <v>28590</v>
      </c>
      <c r="H241" s="744">
        <f>SUM(G241/F241)</f>
        <v>1</v>
      </c>
      <c r="I241" s="578"/>
    </row>
    <row r="242" spans="1:9" ht="12" customHeight="1">
      <c r="A242" s="292"/>
      <c r="B242" s="299" t="s">
        <v>125</v>
      </c>
      <c r="C242" s="298"/>
      <c r="D242" s="298"/>
      <c r="E242" s="298"/>
      <c r="F242" s="298"/>
      <c r="G242" s="298"/>
      <c r="H242" s="422"/>
      <c r="I242" s="578"/>
    </row>
    <row r="243" spans="1:9" ht="12" customHeight="1">
      <c r="A243" s="292"/>
      <c r="B243" s="299" t="s">
        <v>308</v>
      </c>
      <c r="C243" s="298"/>
      <c r="D243" s="298"/>
      <c r="E243" s="298"/>
      <c r="F243" s="298"/>
      <c r="G243" s="298"/>
      <c r="H243" s="422"/>
      <c r="I243" s="450"/>
    </row>
    <row r="244" spans="1:9" ht="12" customHeight="1" thickBot="1">
      <c r="A244" s="292"/>
      <c r="B244" s="434" t="s">
        <v>93</v>
      </c>
      <c r="C244" s="769"/>
      <c r="D244" s="769"/>
      <c r="E244" s="769"/>
      <c r="F244" s="769"/>
      <c r="G244" s="769"/>
      <c r="H244" s="1182"/>
      <c r="I244" s="418"/>
    </row>
    <row r="245" spans="1:9" ht="12.75" thickBot="1">
      <c r="A245" s="361"/>
      <c r="B245" s="438" t="s">
        <v>142</v>
      </c>
      <c r="C245" s="377">
        <f>SUM(C239:C244)</f>
        <v>26500</v>
      </c>
      <c r="D245" s="377">
        <f>SUM(D239:D244)</f>
        <v>28590</v>
      </c>
      <c r="E245" s="377">
        <f>SUM(E239:E244)</f>
        <v>28590</v>
      </c>
      <c r="F245" s="377">
        <f>SUM(F239:F244)</f>
        <v>28590</v>
      </c>
      <c r="G245" s="377">
        <f>SUM(G239:G244)</f>
        <v>28590</v>
      </c>
      <c r="H245" s="1185">
        <f>SUM(G245/F245)</f>
        <v>1</v>
      </c>
      <c r="I245" s="454"/>
    </row>
    <row r="246" spans="1:9" ht="12">
      <c r="A246" s="359">
        <v>3208</v>
      </c>
      <c r="B246" s="461" t="s">
        <v>200</v>
      </c>
      <c r="C246" s="367"/>
      <c r="D246" s="367"/>
      <c r="E246" s="367"/>
      <c r="F246" s="367"/>
      <c r="G246" s="367"/>
      <c r="H246" s="422"/>
      <c r="I246" s="450"/>
    </row>
    <row r="247" spans="1:9" ht="12">
      <c r="A247" s="292"/>
      <c r="B247" s="371" t="s">
        <v>120</v>
      </c>
      <c r="C247" s="298"/>
      <c r="D247" s="298"/>
      <c r="E247" s="298"/>
      <c r="F247" s="298"/>
      <c r="G247" s="298"/>
      <c r="H247" s="422"/>
      <c r="I247" s="450"/>
    </row>
    <row r="248" spans="1:9" ht="12">
      <c r="A248" s="292"/>
      <c r="B248" s="182" t="s">
        <v>314</v>
      </c>
      <c r="C248" s="298"/>
      <c r="D248" s="298"/>
      <c r="E248" s="298"/>
      <c r="F248" s="298"/>
      <c r="G248" s="298"/>
      <c r="H248" s="422"/>
      <c r="I248" s="578"/>
    </row>
    <row r="249" spans="1:9" ht="12">
      <c r="A249" s="292"/>
      <c r="B249" s="372" t="s">
        <v>299</v>
      </c>
      <c r="C249" s="298">
        <v>67428</v>
      </c>
      <c r="D249" s="298">
        <v>77939</v>
      </c>
      <c r="E249" s="298">
        <v>77939</v>
      </c>
      <c r="F249" s="298">
        <v>77939</v>
      </c>
      <c r="G249" s="298">
        <v>77939</v>
      </c>
      <c r="H249" s="744">
        <f>SUM(G249/F249)</f>
        <v>1</v>
      </c>
      <c r="I249" s="578"/>
    </row>
    <row r="250" spans="1:9" ht="12">
      <c r="A250" s="292"/>
      <c r="B250" s="299" t="s">
        <v>125</v>
      </c>
      <c r="C250" s="298"/>
      <c r="D250" s="298"/>
      <c r="E250" s="298"/>
      <c r="F250" s="298"/>
      <c r="G250" s="298"/>
      <c r="H250" s="422"/>
      <c r="I250" s="450"/>
    </row>
    <row r="251" spans="1:9" ht="12">
      <c r="A251" s="292"/>
      <c r="B251" s="299" t="s">
        <v>308</v>
      </c>
      <c r="C251" s="298"/>
      <c r="D251" s="298"/>
      <c r="E251" s="298"/>
      <c r="F251" s="298"/>
      <c r="G251" s="298"/>
      <c r="H251" s="422"/>
      <c r="I251" s="450"/>
    </row>
    <row r="252" spans="1:9" ht="12.75" thickBot="1">
      <c r="A252" s="292"/>
      <c r="B252" s="434" t="s">
        <v>93</v>
      </c>
      <c r="C252" s="769"/>
      <c r="D252" s="769"/>
      <c r="E252" s="769"/>
      <c r="F252" s="769"/>
      <c r="G252" s="769"/>
      <c r="H252" s="1182"/>
      <c r="I252" s="418"/>
    </row>
    <row r="253" spans="1:9" ht="12.75" thickBot="1">
      <c r="A253" s="361"/>
      <c r="B253" s="438" t="s">
        <v>142</v>
      </c>
      <c r="C253" s="377">
        <f>SUM(C247:C252)</f>
        <v>67428</v>
      </c>
      <c r="D253" s="377">
        <f>SUM(D247:D252)</f>
        <v>77939</v>
      </c>
      <c r="E253" s="377">
        <f>SUM(E247:E252)</f>
        <v>77939</v>
      </c>
      <c r="F253" s="377">
        <f>SUM(F247:F252)</f>
        <v>77939</v>
      </c>
      <c r="G253" s="1237">
        <f>SUM(G247:G252)</f>
        <v>77939</v>
      </c>
      <c r="H253" s="1185">
        <f>SUM(G253/F253)</f>
        <v>1</v>
      </c>
      <c r="I253" s="454"/>
    </row>
    <row r="254" spans="1:9" ht="12">
      <c r="A254" s="74">
        <v>3209</v>
      </c>
      <c r="B254" s="384" t="s">
        <v>83</v>
      </c>
      <c r="C254" s="367"/>
      <c r="D254" s="367"/>
      <c r="E254" s="367"/>
      <c r="F254" s="367"/>
      <c r="G254" s="367"/>
      <c r="H254" s="422"/>
      <c r="I254" s="449"/>
    </row>
    <row r="255" spans="1:9" ht="12">
      <c r="A255" s="74"/>
      <c r="B255" s="372" t="s">
        <v>120</v>
      </c>
      <c r="C255" s="767">
        <v>3000</v>
      </c>
      <c r="D255" s="767">
        <v>2500</v>
      </c>
      <c r="E255" s="767">
        <v>2500</v>
      </c>
      <c r="F255" s="767">
        <v>2500</v>
      </c>
      <c r="G255" s="1219">
        <v>200</v>
      </c>
      <c r="H255" s="744">
        <f>SUM(G255/F255)</f>
        <v>0.08</v>
      </c>
      <c r="I255" s="423"/>
    </row>
    <row r="256" spans="1:9" ht="12">
      <c r="A256" s="74"/>
      <c r="B256" s="182" t="s">
        <v>314</v>
      </c>
      <c r="C256" s="767">
        <v>1000</v>
      </c>
      <c r="D256" s="767">
        <v>1000</v>
      </c>
      <c r="E256" s="767">
        <v>1000</v>
      </c>
      <c r="F256" s="767">
        <v>1000</v>
      </c>
      <c r="G256" s="1219">
        <v>1000</v>
      </c>
      <c r="H256" s="744">
        <f>SUM(G256/F256)</f>
        <v>1</v>
      </c>
      <c r="I256" s="578"/>
    </row>
    <row r="257" spans="1:9" ht="12">
      <c r="A257" s="74"/>
      <c r="B257" s="372" t="s">
        <v>299</v>
      </c>
      <c r="C257" s="767">
        <v>900</v>
      </c>
      <c r="D257" s="767">
        <v>900</v>
      </c>
      <c r="E257" s="767">
        <v>900</v>
      </c>
      <c r="F257" s="767">
        <v>900</v>
      </c>
      <c r="G257" s="1219">
        <v>900</v>
      </c>
      <c r="H257" s="744">
        <f>SUM(G257/F257)</f>
        <v>1</v>
      </c>
      <c r="I257" s="578"/>
    </row>
    <row r="258" spans="1:9" ht="12">
      <c r="A258" s="74"/>
      <c r="B258" s="476" t="s">
        <v>125</v>
      </c>
      <c r="C258" s="767"/>
      <c r="D258" s="767"/>
      <c r="E258" s="767"/>
      <c r="F258" s="767"/>
      <c r="G258" s="1219"/>
      <c r="H258" s="744"/>
      <c r="I258" s="465"/>
    </row>
    <row r="259" spans="1:9" ht="12">
      <c r="A259" s="74"/>
      <c r="B259" s="476" t="s">
        <v>308</v>
      </c>
      <c r="C259" s="767">
        <v>5100</v>
      </c>
      <c r="D259" s="767">
        <v>5100</v>
      </c>
      <c r="E259" s="767">
        <v>5100</v>
      </c>
      <c r="F259" s="767">
        <v>5100</v>
      </c>
      <c r="G259" s="1219">
        <v>3959</v>
      </c>
      <c r="H259" s="744">
        <f>SUM(G259/F259)</f>
        <v>0.7762745098039215</v>
      </c>
      <c r="I259" s="423"/>
    </row>
    <row r="260" spans="1:9" ht="12">
      <c r="A260" s="74"/>
      <c r="B260" s="434" t="s">
        <v>266</v>
      </c>
      <c r="C260" s="387"/>
      <c r="D260" s="387">
        <v>500</v>
      </c>
      <c r="E260" s="387">
        <v>500</v>
      </c>
      <c r="F260" s="387">
        <v>500</v>
      </c>
      <c r="G260" s="1221">
        <v>500</v>
      </c>
      <c r="H260" s="1186">
        <f>SUM(G260/F260)</f>
        <v>1</v>
      </c>
      <c r="I260" s="423"/>
    </row>
    <row r="261" spans="1:9" ht="12.75" thickBot="1">
      <c r="A261" s="74"/>
      <c r="B261" s="1149" t="s">
        <v>286</v>
      </c>
      <c r="C261" s="771"/>
      <c r="D261" s="771"/>
      <c r="E261" s="771"/>
      <c r="F261" s="771"/>
      <c r="G261" s="1222">
        <v>3441</v>
      </c>
      <c r="H261" s="1184"/>
      <c r="I261" s="468"/>
    </row>
    <row r="262" spans="1:9" ht="12.75" thickBot="1">
      <c r="A262" s="382"/>
      <c r="B262" s="438" t="s">
        <v>142</v>
      </c>
      <c r="C262" s="377">
        <f>SUM(C255:C260)</f>
        <v>10000</v>
      </c>
      <c r="D262" s="377">
        <f>SUM(D255:D260)</f>
        <v>10000</v>
      </c>
      <c r="E262" s="377">
        <f>SUM(E255:E260)</f>
        <v>10000</v>
      </c>
      <c r="F262" s="377">
        <f>SUM(F255:F260)</f>
        <v>10000</v>
      </c>
      <c r="G262" s="1237">
        <f>SUM(G255:G261)</f>
        <v>10000</v>
      </c>
      <c r="H262" s="1183">
        <f>SUM(G262/F262)</f>
        <v>1</v>
      </c>
      <c r="I262" s="454"/>
    </row>
    <row r="263" spans="1:9" ht="12">
      <c r="A263" s="74">
        <v>3210</v>
      </c>
      <c r="B263" s="384" t="s">
        <v>43</v>
      </c>
      <c r="C263" s="367"/>
      <c r="D263" s="367"/>
      <c r="E263" s="367"/>
      <c r="F263" s="367"/>
      <c r="G263" s="367"/>
      <c r="H263" s="422"/>
      <c r="I263" s="449"/>
    </row>
    <row r="264" spans="1:9" ht="12">
      <c r="A264" s="74"/>
      <c r="B264" s="372" t="s">
        <v>120</v>
      </c>
      <c r="C264" s="367"/>
      <c r="D264" s="367"/>
      <c r="E264" s="367"/>
      <c r="F264" s="367"/>
      <c r="G264" s="367"/>
      <c r="H264" s="422"/>
      <c r="I264" s="423"/>
    </row>
    <row r="265" spans="1:9" ht="12">
      <c r="A265" s="74"/>
      <c r="B265" s="182" t="s">
        <v>314</v>
      </c>
      <c r="C265" s="367"/>
      <c r="D265" s="367"/>
      <c r="E265" s="367"/>
      <c r="F265" s="367"/>
      <c r="G265" s="367"/>
      <c r="H265" s="422"/>
      <c r="I265" s="578"/>
    </row>
    <row r="266" spans="1:9" ht="12">
      <c r="A266" s="74"/>
      <c r="B266" s="372" t="s">
        <v>299</v>
      </c>
      <c r="C266" s="767">
        <v>2000</v>
      </c>
      <c r="D266" s="767">
        <v>2000</v>
      </c>
      <c r="E266" s="767">
        <v>2000</v>
      </c>
      <c r="F266" s="767">
        <v>2000</v>
      </c>
      <c r="G266" s="767">
        <v>2000</v>
      </c>
      <c r="H266" s="744">
        <f>SUM(G266/F266)</f>
        <v>1</v>
      </c>
      <c r="I266" s="578"/>
    </row>
    <row r="267" spans="1:9" ht="12">
      <c r="A267" s="74"/>
      <c r="B267" s="476" t="s">
        <v>125</v>
      </c>
      <c r="C267" s="767"/>
      <c r="D267" s="767"/>
      <c r="E267" s="767"/>
      <c r="F267" s="767"/>
      <c r="G267" s="767"/>
      <c r="H267" s="422"/>
      <c r="I267" s="579"/>
    </row>
    <row r="268" spans="1:9" ht="12">
      <c r="A268" s="74"/>
      <c r="B268" s="476" t="s">
        <v>308</v>
      </c>
      <c r="C268" s="767"/>
      <c r="D268" s="767"/>
      <c r="E268" s="767"/>
      <c r="F268" s="767"/>
      <c r="G268" s="767"/>
      <c r="H268" s="422"/>
      <c r="I268" s="423"/>
    </row>
    <row r="269" spans="1:9" ht="12.75" thickBot="1">
      <c r="A269" s="74"/>
      <c r="B269" s="434" t="s">
        <v>93</v>
      </c>
      <c r="C269" s="388"/>
      <c r="D269" s="388"/>
      <c r="E269" s="388"/>
      <c r="F269" s="388"/>
      <c r="G269" s="388"/>
      <c r="H269" s="1182"/>
      <c r="I269" s="452"/>
    </row>
    <row r="270" spans="1:9" ht="12.75" thickBot="1">
      <c r="A270" s="382"/>
      <c r="B270" s="438" t="s">
        <v>142</v>
      </c>
      <c r="C270" s="377">
        <f>SUM(C266:C269)</f>
        <v>2000</v>
      </c>
      <c r="D270" s="377">
        <f>SUM(D266:D269)</f>
        <v>2000</v>
      </c>
      <c r="E270" s="377">
        <f>SUM(E266:E269)</f>
        <v>2000</v>
      </c>
      <c r="F270" s="377">
        <f>SUM(F266:F269)</f>
        <v>2000</v>
      </c>
      <c r="G270" s="377">
        <f>SUM(G266:G269)</f>
        <v>2000</v>
      </c>
      <c r="H270" s="1185">
        <f>SUM(G270/F270)</f>
        <v>1</v>
      </c>
      <c r="I270" s="454"/>
    </row>
    <row r="271" spans="1:9" ht="12">
      <c r="A271" s="359"/>
      <c r="B271" s="381" t="s">
        <v>97</v>
      </c>
      <c r="C271" s="379">
        <f>SUM(C279+C287+C295+C303+C311)</f>
        <v>2458590</v>
      </c>
      <c r="D271" s="379">
        <f>SUM(D279+D287+D295+D303+D311)</f>
        <v>2548864</v>
      </c>
      <c r="E271" s="379">
        <f>SUM(E279+E287+E295+E303+E311)</f>
        <v>2591864</v>
      </c>
      <c r="F271" s="379">
        <f>SUM(F279+F287+F295+F303+F311)</f>
        <v>2594864</v>
      </c>
      <c r="G271" s="379">
        <f>SUM(G279+G287+G295+G303+G311)</f>
        <v>2594864</v>
      </c>
      <c r="H271" s="422">
        <f>SUM(G271/F271)</f>
        <v>1</v>
      </c>
      <c r="I271" s="419"/>
    </row>
    <row r="272" spans="1:9" ht="12">
      <c r="A272" s="359">
        <v>3211</v>
      </c>
      <c r="B272" s="462" t="s">
        <v>27</v>
      </c>
      <c r="C272" s="367"/>
      <c r="D272" s="367"/>
      <c r="E272" s="367"/>
      <c r="F272" s="367"/>
      <c r="G272" s="367"/>
      <c r="H272" s="422"/>
      <c r="I272" s="449"/>
    </row>
    <row r="273" spans="1:9" ht="12">
      <c r="A273" s="359"/>
      <c r="B273" s="372" t="s">
        <v>120</v>
      </c>
      <c r="C273" s="367"/>
      <c r="D273" s="367"/>
      <c r="E273" s="367"/>
      <c r="F273" s="367"/>
      <c r="G273" s="367"/>
      <c r="H273" s="422"/>
      <c r="I273" s="423"/>
    </row>
    <row r="274" spans="1:9" ht="12">
      <c r="A274" s="359"/>
      <c r="B274" s="182" t="s">
        <v>314</v>
      </c>
      <c r="C274" s="367"/>
      <c r="D274" s="367"/>
      <c r="E274" s="367"/>
      <c r="F274" s="367"/>
      <c r="G274" s="367"/>
      <c r="H274" s="422"/>
      <c r="I274" s="423"/>
    </row>
    <row r="275" spans="1:9" ht="12">
      <c r="A275" s="359"/>
      <c r="B275" s="372" t="s">
        <v>299</v>
      </c>
      <c r="C275" s="767">
        <v>313754</v>
      </c>
      <c r="D275" s="767">
        <v>313754</v>
      </c>
      <c r="E275" s="767">
        <v>338754</v>
      </c>
      <c r="F275" s="767">
        <v>341754</v>
      </c>
      <c r="G275" s="767">
        <v>341754</v>
      </c>
      <c r="H275" s="744">
        <f>SUM(G275/F275)</f>
        <v>1</v>
      </c>
      <c r="I275" s="579"/>
    </row>
    <row r="276" spans="1:9" ht="12">
      <c r="A276" s="359"/>
      <c r="B276" s="476" t="s">
        <v>125</v>
      </c>
      <c r="C276" s="767"/>
      <c r="D276" s="767"/>
      <c r="E276" s="767"/>
      <c r="F276" s="767"/>
      <c r="G276" s="767"/>
      <c r="H276" s="422"/>
      <c r="I276" s="579"/>
    </row>
    <row r="277" spans="1:9" ht="12">
      <c r="A277" s="359"/>
      <c r="B277" s="476" t="s">
        <v>308</v>
      </c>
      <c r="C277" s="367"/>
      <c r="D277" s="367"/>
      <c r="E277" s="367"/>
      <c r="F277" s="367"/>
      <c r="G277" s="367"/>
      <c r="H277" s="422"/>
      <c r="I277" s="579"/>
    </row>
    <row r="278" spans="1:9" ht="12.75" thickBot="1">
      <c r="A278" s="359"/>
      <c r="B278" s="434" t="s">
        <v>93</v>
      </c>
      <c r="C278" s="768"/>
      <c r="D278" s="768"/>
      <c r="E278" s="768"/>
      <c r="F278" s="768"/>
      <c r="G278" s="768"/>
      <c r="H278" s="1182"/>
      <c r="I278" s="579"/>
    </row>
    <row r="279" spans="1:9" ht="12.75" thickBot="1">
      <c r="A279" s="382"/>
      <c r="B279" s="438" t="s">
        <v>142</v>
      </c>
      <c r="C279" s="377">
        <f>SUM(C275:C278)</f>
        <v>313754</v>
      </c>
      <c r="D279" s="377">
        <f>SUM(D275:D278)</f>
        <v>313754</v>
      </c>
      <c r="E279" s="377">
        <f>SUM(E275:E278)</f>
        <v>338754</v>
      </c>
      <c r="F279" s="377">
        <f>SUM(F275:F278)</f>
        <v>341754</v>
      </c>
      <c r="G279" s="1237">
        <f>SUM(G275:G278)</f>
        <v>341754</v>
      </c>
      <c r="H279" s="1185">
        <f>SUM(G279/F279)</f>
        <v>1</v>
      </c>
      <c r="I279" s="454"/>
    </row>
    <row r="280" spans="1:9" ht="12">
      <c r="A280" s="359">
        <v>3212</v>
      </c>
      <c r="B280" s="462" t="s">
        <v>458</v>
      </c>
      <c r="C280" s="367"/>
      <c r="D280" s="367"/>
      <c r="E280" s="367"/>
      <c r="F280" s="367"/>
      <c r="G280" s="367"/>
      <c r="H280" s="422"/>
      <c r="I280" s="449"/>
    </row>
    <row r="281" spans="1:9" ht="12">
      <c r="A281" s="359"/>
      <c r="B281" s="372" t="s">
        <v>120</v>
      </c>
      <c r="C281" s="767"/>
      <c r="D281" s="767"/>
      <c r="E281" s="767"/>
      <c r="F281" s="767"/>
      <c r="G281" s="767"/>
      <c r="H281" s="422"/>
      <c r="I281" s="423"/>
    </row>
    <row r="282" spans="1:9" ht="12">
      <c r="A282" s="359"/>
      <c r="B282" s="182" t="s">
        <v>314</v>
      </c>
      <c r="C282" s="767"/>
      <c r="D282" s="767"/>
      <c r="E282" s="767"/>
      <c r="F282" s="767"/>
      <c r="G282" s="767"/>
      <c r="H282" s="422"/>
      <c r="I282" s="465"/>
    </row>
    <row r="283" spans="1:9" ht="12">
      <c r="A283" s="359"/>
      <c r="B283" s="372" t="s">
        <v>299</v>
      </c>
      <c r="C283" s="767">
        <v>1176561</v>
      </c>
      <c r="D283" s="767">
        <v>1214006</v>
      </c>
      <c r="E283" s="767">
        <v>1214006</v>
      </c>
      <c r="F283" s="767">
        <v>1214006</v>
      </c>
      <c r="G283" s="767">
        <v>1214006</v>
      </c>
      <c r="H283" s="744">
        <f>SUM(G283/F283)</f>
        <v>1</v>
      </c>
      <c r="I283" s="1077"/>
    </row>
    <row r="284" spans="1:9" ht="12">
      <c r="A284" s="359"/>
      <c r="B284" s="476" t="s">
        <v>125</v>
      </c>
      <c r="C284" s="767"/>
      <c r="D284" s="767"/>
      <c r="E284" s="767"/>
      <c r="F284" s="767"/>
      <c r="G284" s="767"/>
      <c r="H284" s="422"/>
      <c r="I284" s="465"/>
    </row>
    <row r="285" spans="1:9" ht="12">
      <c r="A285" s="359"/>
      <c r="B285" s="476" t="s">
        <v>308</v>
      </c>
      <c r="C285" s="367"/>
      <c r="D285" s="367"/>
      <c r="E285" s="367"/>
      <c r="F285" s="367"/>
      <c r="G285" s="367"/>
      <c r="H285" s="422"/>
      <c r="I285" s="465"/>
    </row>
    <row r="286" spans="1:9" ht="12.75" thickBot="1">
      <c r="A286" s="359"/>
      <c r="B286" s="434" t="s">
        <v>93</v>
      </c>
      <c r="C286" s="768"/>
      <c r="D286" s="768"/>
      <c r="E286" s="768"/>
      <c r="F286" s="768"/>
      <c r="G286" s="768"/>
      <c r="H286" s="1182"/>
      <c r="I286" s="452"/>
    </row>
    <row r="287" spans="1:9" ht="12.75" thickBot="1">
      <c r="A287" s="382"/>
      <c r="B287" s="438" t="s">
        <v>142</v>
      </c>
      <c r="C287" s="377">
        <f>SUM(C281:C286)</f>
        <v>1176561</v>
      </c>
      <c r="D287" s="377">
        <f>SUM(D281:D286)</f>
        <v>1214006</v>
      </c>
      <c r="E287" s="377">
        <f>SUM(E281:E286)</f>
        <v>1214006</v>
      </c>
      <c r="F287" s="377">
        <f>SUM(F281:F286)</f>
        <v>1214006</v>
      </c>
      <c r="G287" s="377">
        <f>SUM(G281:G286)</f>
        <v>1214006</v>
      </c>
      <c r="H287" s="1185">
        <f>SUM(G287/F287)</f>
        <v>1</v>
      </c>
      <c r="I287" s="454"/>
    </row>
    <row r="288" spans="1:9" ht="12">
      <c r="A288" s="359">
        <v>3213</v>
      </c>
      <c r="B288" s="384" t="s">
        <v>365</v>
      </c>
      <c r="C288" s="367"/>
      <c r="D288" s="367"/>
      <c r="E288" s="367"/>
      <c r="F288" s="367"/>
      <c r="G288" s="367"/>
      <c r="H288" s="422"/>
      <c r="I288" s="419"/>
    </row>
    <row r="289" spans="1:9" ht="12">
      <c r="A289" s="359"/>
      <c r="B289" s="372" t="s">
        <v>120</v>
      </c>
      <c r="C289" s="367"/>
      <c r="D289" s="367"/>
      <c r="E289" s="367"/>
      <c r="F289" s="367"/>
      <c r="G289" s="367"/>
      <c r="H289" s="422"/>
      <c r="I289" s="423"/>
    </row>
    <row r="290" spans="1:9" ht="12">
      <c r="A290" s="359"/>
      <c r="B290" s="182" t="s">
        <v>314</v>
      </c>
      <c r="C290" s="367"/>
      <c r="D290" s="367"/>
      <c r="E290" s="367"/>
      <c r="F290" s="367"/>
      <c r="G290" s="367"/>
      <c r="H290" s="422"/>
      <c r="I290" s="579"/>
    </row>
    <row r="291" spans="1:9" ht="12">
      <c r="A291" s="359"/>
      <c r="B291" s="372" t="s">
        <v>299</v>
      </c>
      <c r="C291" s="767">
        <v>532000</v>
      </c>
      <c r="D291" s="767">
        <v>547767</v>
      </c>
      <c r="E291" s="767">
        <v>547767</v>
      </c>
      <c r="F291" s="767">
        <v>547767</v>
      </c>
      <c r="G291" s="767">
        <v>547767</v>
      </c>
      <c r="H291" s="744">
        <f>SUM(G291/F291)</f>
        <v>1</v>
      </c>
      <c r="I291" s="465"/>
    </row>
    <row r="292" spans="1:9" ht="12">
      <c r="A292" s="359"/>
      <c r="B292" s="476" t="s">
        <v>125</v>
      </c>
      <c r="C292" s="767"/>
      <c r="D292" s="767"/>
      <c r="E292" s="767"/>
      <c r="F292" s="767"/>
      <c r="G292" s="767"/>
      <c r="H292" s="422"/>
      <c r="I292" s="465"/>
    </row>
    <row r="293" spans="1:9" ht="12">
      <c r="A293" s="359"/>
      <c r="B293" s="476" t="s">
        <v>308</v>
      </c>
      <c r="C293" s="367"/>
      <c r="D293" s="367"/>
      <c r="E293" s="367"/>
      <c r="F293" s="367"/>
      <c r="G293" s="367"/>
      <c r="H293" s="422"/>
      <c r="I293" s="423"/>
    </row>
    <row r="294" spans="1:9" ht="12.75" thickBot="1">
      <c r="A294" s="359"/>
      <c r="B294" s="434" t="s">
        <v>93</v>
      </c>
      <c r="C294" s="768"/>
      <c r="D294" s="768"/>
      <c r="E294" s="768"/>
      <c r="F294" s="768"/>
      <c r="G294" s="768"/>
      <c r="H294" s="1182"/>
      <c r="I294" s="452"/>
    </row>
    <row r="295" spans="1:9" ht="12.75" thickBot="1">
      <c r="A295" s="382"/>
      <c r="B295" s="438" t="s">
        <v>142</v>
      </c>
      <c r="C295" s="377">
        <f>SUM(C291:C294)</f>
        <v>532000</v>
      </c>
      <c r="D295" s="377">
        <f>SUM(D291:D294)</f>
        <v>547767</v>
      </c>
      <c r="E295" s="377">
        <f>SUM(E291:E294)</f>
        <v>547767</v>
      </c>
      <c r="F295" s="377">
        <f>SUM(F291:F294)</f>
        <v>547767</v>
      </c>
      <c r="G295" s="1237">
        <f>SUM(G291:G294)</f>
        <v>547767</v>
      </c>
      <c r="H295" s="1185">
        <f>SUM(G295/F295)</f>
        <v>1</v>
      </c>
      <c r="I295" s="468"/>
    </row>
    <row r="296" spans="1:9" ht="12">
      <c r="A296" s="359">
        <v>3214</v>
      </c>
      <c r="B296" s="384" t="s">
        <v>380</v>
      </c>
      <c r="C296" s="367"/>
      <c r="D296" s="367"/>
      <c r="E296" s="367"/>
      <c r="F296" s="367"/>
      <c r="G296" s="367"/>
      <c r="H296" s="422"/>
      <c r="I296" s="419"/>
    </row>
    <row r="297" spans="1:9" ht="12">
      <c r="A297" s="359"/>
      <c r="B297" s="372" t="s">
        <v>120</v>
      </c>
      <c r="C297" s="367"/>
      <c r="D297" s="367"/>
      <c r="E297" s="367"/>
      <c r="F297" s="367"/>
      <c r="G297" s="367"/>
      <c r="H297" s="422"/>
      <c r="I297" s="423"/>
    </row>
    <row r="298" spans="1:9" ht="12">
      <c r="A298" s="359"/>
      <c r="B298" s="182" t="s">
        <v>314</v>
      </c>
      <c r="C298" s="367"/>
      <c r="D298" s="367"/>
      <c r="E298" s="367"/>
      <c r="F298" s="367"/>
      <c r="G298" s="367"/>
      <c r="H298" s="422"/>
      <c r="I298" s="423"/>
    </row>
    <row r="299" spans="1:9" ht="12">
      <c r="A299" s="359"/>
      <c r="B299" s="372" t="s">
        <v>299</v>
      </c>
      <c r="C299" s="767"/>
      <c r="D299" s="767"/>
      <c r="E299" s="767"/>
      <c r="F299" s="767"/>
      <c r="G299" s="767"/>
      <c r="H299" s="422"/>
      <c r="I299" s="579"/>
    </row>
    <row r="300" spans="1:9" ht="12">
      <c r="A300" s="359"/>
      <c r="B300" s="476" t="s">
        <v>125</v>
      </c>
      <c r="C300" s="767"/>
      <c r="D300" s="767"/>
      <c r="E300" s="767"/>
      <c r="F300" s="767"/>
      <c r="G300" s="767"/>
      <c r="H300" s="422"/>
      <c r="I300" s="465"/>
    </row>
    <row r="301" spans="1:9" ht="12">
      <c r="A301" s="359"/>
      <c r="B301" s="477" t="s">
        <v>266</v>
      </c>
      <c r="C301" s="767">
        <v>28509</v>
      </c>
      <c r="D301" s="767">
        <v>32340</v>
      </c>
      <c r="E301" s="767">
        <v>32340</v>
      </c>
      <c r="F301" s="767">
        <v>32340</v>
      </c>
      <c r="G301" s="767">
        <v>32340</v>
      </c>
      <c r="H301" s="744">
        <f>SUM(G301/F301)</f>
        <v>1</v>
      </c>
      <c r="I301" s="1076"/>
    </row>
    <row r="302" spans="1:9" ht="12.75" thickBot="1">
      <c r="A302" s="359"/>
      <c r="B302" s="727" t="s">
        <v>420</v>
      </c>
      <c r="C302" s="524"/>
      <c r="D302" s="524"/>
      <c r="E302" s="524"/>
      <c r="F302" s="524"/>
      <c r="G302" s="524"/>
      <c r="H302" s="1182"/>
      <c r="I302" s="1078"/>
    </row>
    <row r="303" spans="1:9" ht="12.75" thickBot="1">
      <c r="A303" s="382"/>
      <c r="B303" s="438" t="s">
        <v>142</v>
      </c>
      <c r="C303" s="377">
        <f>SUM(C301)</f>
        <v>28509</v>
      </c>
      <c r="D303" s="377">
        <f>SUM(D301)</f>
        <v>32340</v>
      </c>
      <c r="E303" s="377">
        <f>SUM(E301)</f>
        <v>32340</v>
      </c>
      <c r="F303" s="377">
        <f>SUM(F301)</f>
        <v>32340</v>
      </c>
      <c r="G303" s="377">
        <f>SUM(G301)</f>
        <v>32340</v>
      </c>
      <c r="H303" s="1185">
        <f>SUM(G303/F303)</f>
        <v>1</v>
      </c>
      <c r="I303" s="454"/>
    </row>
    <row r="304" spans="1:9" ht="12">
      <c r="A304" s="424">
        <v>3216</v>
      </c>
      <c r="B304" s="458" t="s">
        <v>39</v>
      </c>
      <c r="C304" s="426"/>
      <c r="D304" s="426"/>
      <c r="E304" s="426"/>
      <c r="F304" s="426"/>
      <c r="G304" s="426"/>
      <c r="H304" s="422"/>
      <c r="I304" s="480"/>
    </row>
    <row r="305" spans="1:9" ht="12">
      <c r="A305" s="424"/>
      <c r="B305" s="432" t="s">
        <v>120</v>
      </c>
      <c r="C305" s="426"/>
      <c r="D305" s="426"/>
      <c r="E305" s="426"/>
      <c r="F305" s="426"/>
      <c r="G305" s="426"/>
      <c r="H305" s="422"/>
      <c r="I305" s="481"/>
    </row>
    <row r="306" spans="1:9" ht="12">
      <c r="A306" s="424"/>
      <c r="B306" s="431" t="s">
        <v>314</v>
      </c>
      <c r="C306" s="426"/>
      <c r="D306" s="426"/>
      <c r="E306" s="426"/>
      <c r="F306" s="426"/>
      <c r="G306" s="426"/>
      <c r="H306" s="422"/>
      <c r="I306" s="481"/>
    </row>
    <row r="307" spans="1:9" ht="12">
      <c r="A307" s="424"/>
      <c r="B307" s="432" t="s">
        <v>299</v>
      </c>
      <c r="C307" s="443">
        <v>407766</v>
      </c>
      <c r="D307" s="443">
        <v>439779</v>
      </c>
      <c r="E307" s="443">
        <v>457779</v>
      </c>
      <c r="F307" s="443">
        <v>457779</v>
      </c>
      <c r="G307" s="443">
        <v>457779</v>
      </c>
      <c r="H307" s="1186">
        <f>SUM(G307/F307)</f>
        <v>1</v>
      </c>
      <c r="I307" s="582"/>
    </row>
    <row r="308" spans="1:9" ht="12">
      <c r="A308" s="424"/>
      <c r="B308" s="483" t="s">
        <v>125</v>
      </c>
      <c r="C308" s="443"/>
      <c r="D308" s="443"/>
      <c r="E308" s="443"/>
      <c r="F308" s="443"/>
      <c r="G308" s="443"/>
      <c r="H308" s="744"/>
      <c r="I308" s="582"/>
    </row>
    <row r="309" spans="1:9" ht="12">
      <c r="A309" s="424"/>
      <c r="B309" s="476" t="s">
        <v>308</v>
      </c>
      <c r="C309" s="443"/>
      <c r="D309" s="443"/>
      <c r="E309" s="443"/>
      <c r="F309" s="443"/>
      <c r="G309" s="443"/>
      <c r="H309" s="744"/>
      <c r="I309" s="784"/>
    </row>
    <row r="310" spans="1:9" ht="12.75" thickBot="1">
      <c r="A310" s="424"/>
      <c r="B310" s="434" t="s">
        <v>266</v>
      </c>
      <c r="C310" s="770"/>
      <c r="D310" s="770">
        <v>1218</v>
      </c>
      <c r="E310" s="770">
        <v>1218</v>
      </c>
      <c r="F310" s="770">
        <v>1218</v>
      </c>
      <c r="G310" s="770">
        <v>1218</v>
      </c>
      <c r="H310" s="1187">
        <f>SUM(G310/F310)</f>
        <v>1</v>
      </c>
      <c r="I310" s="484"/>
    </row>
    <row r="311" spans="1:9" ht="12.75" thickBot="1">
      <c r="A311" s="446"/>
      <c r="B311" s="438" t="s">
        <v>142</v>
      </c>
      <c r="C311" s="758">
        <f>SUM(C307:C310)</f>
        <v>407766</v>
      </c>
      <c r="D311" s="758">
        <f>SUM(D307:D310)</f>
        <v>440997</v>
      </c>
      <c r="E311" s="758">
        <f>SUM(E307:E310)</f>
        <v>458997</v>
      </c>
      <c r="F311" s="758">
        <f>SUM(F307:F310)</f>
        <v>458997</v>
      </c>
      <c r="G311" s="758">
        <f>SUM(G307:G310)</f>
        <v>458997</v>
      </c>
      <c r="H311" s="1185">
        <f>SUM(G311/F311)</f>
        <v>1</v>
      </c>
      <c r="I311" s="485"/>
    </row>
    <row r="312" spans="1:9" ht="12.75" thickBot="1">
      <c r="A312" s="359">
        <v>3220</v>
      </c>
      <c r="B312" s="376" t="s">
        <v>387</v>
      </c>
      <c r="C312" s="377">
        <f>SUM(C316+C329)</f>
        <v>32000</v>
      </c>
      <c r="D312" s="377">
        <f>SUM(D316+D329)</f>
        <v>43014</v>
      </c>
      <c r="E312" s="377">
        <f>SUM(E316+E329)</f>
        <v>43014</v>
      </c>
      <c r="F312" s="377">
        <f>SUM(F316+F329)</f>
        <v>41362</v>
      </c>
      <c r="G312" s="377">
        <f>SUM(G316+G329)</f>
        <v>40139</v>
      </c>
      <c r="H312" s="1185">
        <f>SUM(G312/F312)</f>
        <v>0.9704317973018712</v>
      </c>
      <c r="I312" s="454"/>
    </row>
    <row r="313" spans="1:9" ht="12">
      <c r="A313" s="359">
        <v>3223</v>
      </c>
      <c r="B313" s="384" t="s">
        <v>86</v>
      </c>
      <c r="C313" s="367"/>
      <c r="D313" s="367"/>
      <c r="E313" s="367"/>
      <c r="F313" s="367"/>
      <c r="G313" s="367"/>
      <c r="H313" s="422"/>
      <c r="I313" s="419"/>
    </row>
    <row r="314" spans="1:9" ht="12">
      <c r="A314" s="359"/>
      <c r="B314" s="371" t="s">
        <v>120</v>
      </c>
      <c r="C314" s="767"/>
      <c r="D314" s="767"/>
      <c r="E314" s="767"/>
      <c r="F314" s="767">
        <v>100</v>
      </c>
      <c r="G314" s="767">
        <v>100</v>
      </c>
      <c r="H314" s="1186">
        <f>SUM(G314/F314)</f>
        <v>1</v>
      </c>
      <c r="I314" s="449"/>
    </row>
    <row r="315" spans="1:9" ht="12">
      <c r="A315" s="359"/>
      <c r="B315" s="182" t="s">
        <v>314</v>
      </c>
      <c r="C315" s="767"/>
      <c r="D315" s="767"/>
      <c r="E315" s="767"/>
      <c r="F315" s="767">
        <v>18</v>
      </c>
      <c r="G315" s="767">
        <v>18</v>
      </c>
      <c r="H315" s="744">
        <f>SUM(G315/F315)</f>
        <v>1</v>
      </c>
      <c r="I315" s="578"/>
    </row>
    <row r="316" spans="1:9" ht="12">
      <c r="A316" s="359"/>
      <c r="B316" s="372" t="s">
        <v>299</v>
      </c>
      <c r="C316" s="767">
        <v>20000</v>
      </c>
      <c r="D316" s="767">
        <v>19014</v>
      </c>
      <c r="E316" s="767">
        <v>19014</v>
      </c>
      <c r="F316" s="767">
        <v>17362</v>
      </c>
      <c r="G316" s="767">
        <v>16139</v>
      </c>
      <c r="H316" s="744">
        <f>SUM(G316/F316)</f>
        <v>0.9295588065891026</v>
      </c>
      <c r="I316" s="465"/>
    </row>
    <row r="317" spans="1:9" ht="12">
      <c r="A317" s="359"/>
      <c r="B317" s="299" t="s">
        <v>125</v>
      </c>
      <c r="C317" s="767"/>
      <c r="D317" s="767"/>
      <c r="E317" s="767"/>
      <c r="F317" s="767"/>
      <c r="G317" s="767"/>
      <c r="H317" s="744"/>
      <c r="I317" s="465"/>
    </row>
    <row r="318" spans="1:9" ht="12">
      <c r="A318" s="359"/>
      <c r="B318" s="299" t="s">
        <v>308</v>
      </c>
      <c r="C318" s="385"/>
      <c r="D318" s="385"/>
      <c r="E318" s="385"/>
      <c r="F318" s="385"/>
      <c r="G318" s="385"/>
      <c r="H318" s="744"/>
      <c r="I318" s="423"/>
    </row>
    <row r="319" spans="1:9" ht="12">
      <c r="A319" s="359"/>
      <c r="B319" s="299" t="s">
        <v>266</v>
      </c>
      <c r="C319" s="367"/>
      <c r="D319" s="367"/>
      <c r="E319" s="367"/>
      <c r="F319" s="767">
        <v>2758</v>
      </c>
      <c r="G319" s="767">
        <v>2758</v>
      </c>
      <c r="H319" s="744">
        <f>SUM(G319/F319)</f>
        <v>1</v>
      </c>
      <c r="I319" s="494"/>
    </row>
    <row r="320" spans="1:9" ht="12.75" thickBot="1">
      <c r="A320" s="359"/>
      <c r="B320" s="434" t="s">
        <v>286</v>
      </c>
      <c r="C320" s="771"/>
      <c r="D320" s="771">
        <v>88</v>
      </c>
      <c r="E320" s="771">
        <v>88</v>
      </c>
      <c r="F320" s="771">
        <v>88</v>
      </c>
      <c r="G320" s="771">
        <v>88</v>
      </c>
      <c r="H320" s="1187">
        <f>SUM(G320/F320)</f>
        <v>1</v>
      </c>
      <c r="I320" s="452"/>
    </row>
    <row r="321" spans="1:9" ht="12.75" thickBot="1">
      <c r="A321" s="382"/>
      <c r="B321" s="438" t="s">
        <v>142</v>
      </c>
      <c r="C321" s="377">
        <f>SUM(C314:C320)</f>
        <v>20000</v>
      </c>
      <c r="D321" s="377">
        <f>SUM(D314:D320)</f>
        <v>19102</v>
      </c>
      <c r="E321" s="377">
        <f>SUM(E314:E320)</f>
        <v>19102</v>
      </c>
      <c r="F321" s="377">
        <f>SUM(F314:F320)</f>
        <v>20326</v>
      </c>
      <c r="G321" s="1237">
        <f>SUM(G314:G320)</f>
        <v>19103</v>
      </c>
      <c r="H321" s="1185">
        <f>SUM(G321/F321)</f>
        <v>0.9398307586342616</v>
      </c>
      <c r="I321" s="454"/>
    </row>
    <row r="322" spans="1:9" ht="12">
      <c r="A322" s="359">
        <v>3224</v>
      </c>
      <c r="B322" s="384" t="s">
        <v>459</v>
      </c>
      <c r="C322" s="367"/>
      <c r="D322" s="367"/>
      <c r="E322" s="367"/>
      <c r="F322" s="367"/>
      <c r="G322" s="367"/>
      <c r="H322" s="422"/>
      <c r="I322" s="419" t="s">
        <v>169</v>
      </c>
    </row>
    <row r="323" spans="1:9" ht="12">
      <c r="A323" s="359"/>
      <c r="B323" s="371" t="s">
        <v>120</v>
      </c>
      <c r="C323" s="767"/>
      <c r="D323" s="767"/>
      <c r="E323" s="767"/>
      <c r="F323" s="767"/>
      <c r="G323" s="767"/>
      <c r="H323" s="422"/>
      <c r="I323" s="449"/>
    </row>
    <row r="324" spans="1:9" ht="12">
      <c r="A324" s="359"/>
      <c r="B324" s="182" t="s">
        <v>314</v>
      </c>
      <c r="C324" s="767"/>
      <c r="D324" s="767"/>
      <c r="E324" s="767"/>
      <c r="F324" s="767"/>
      <c r="G324" s="767"/>
      <c r="H324" s="422"/>
      <c r="I324" s="578"/>
    </row>
    <row r="325" spans="1:9" ht="12">
      <c r="A325" s="359"/>
      <c r="B325" s="372" t="s">
        <v>299</v>
      </c>
      <c r="C325" s="767"/>
      <c r="D325" s="767"/>
      <c r="E325" s="767"/>
      <c r="F325" s="767"/>
      <c r="G325" s="767"/>
      <c r="H325" s="422"/>
      <c r="I325" s="1076"/>
    </row>
    <row r="326" spans="1:9" ht="12">
      <c r="A326" s="359"/>
      <c r="B326" s="299" t="s">
        <v>125</v>
      </c>
      <c r="C326" s="767"/>
      <c r="D326" s="767"/>
      <c r="E326" s="767"/>
      <c r="F326" s="767"/>
      <c r="G326" s="767"/>
      <c r="H326" s="422"/>
      <c r="I326" s="465"/>
    </row>
    <row r="327" spans="1:9" ht="12">
      <c r="A327" s="359"/>
      <c r="B327" s="299" t="s">
        <v>308</v>
      </c>
      <c r="C327" s="767">
        <v>12000</v>
      </c>
      <c r="D327" s="767">
        <v>24000</v>
      </c>
      <c r="E327" s="767">
        <v>24000</v>
      </c>
      <c r="F327" s="767">
        <v>24000</v>
      </c>
      <c r="G327" s="767">
        <v>24000</v>
      </c>
      <c r="H327" s="744">
        <f>SUM(G327/F327)</f>
        <v>1</v>
      </c>
      <c r="I327" s="423"/>
    </row>
    <row r="328" spans="1:9" ht="12.75" thickBot="1">
      <c r="A328" s="359"/>
      <c r="B328" s="434" t="s">
        <v>93</v>
      </c>
      <c r="C328" s="388"/>
      <c r="D328" s="388"/>
      <c r="E328" s="388"/>
      <c r="F328" s="388"/>
      <c r="G328" s="388"/>
      <c r="H328" s="1182"/>
      <c r="I328" s="452"/>
    </row>
    <row r="329" spans="1:9" ht="12.75" thickBot="1">
      <c r="A329" s="382"/>
      <c r="B329" s="438" t="s">
        <v>142</v>
      </c>
      <c r="C329" s="377">
        <f>SUM(C323:C328)</f>
        <v>12000</v>
      </c>
      <c r="D329" s="377">
        <f>SUM(D323:D328)</f>
        <v>24000</v>
      </c>
      <c r="E329" s="377">
        <f>SUM(E323:E328)</f>
        <v>24000</v>
      </c>
      <c r="F329" s="377">
        <f>SUM(F323:F328)</f>
        <v>24000</v>
      </c>
      <c r="G329" s="377">
        <f>SUM(G323:G328)</f>
        <v>24000</v>
      </c>
      <c r="H329" s="1185">
        <f>SUM(G329/F329)</f>
        <v>1</v>
      </c>
      <c r="I329" s="454"/>
    </row>
    <row r="330" spans="1:9" ht="12" customHeight="1" thickBot="1">
      <c r="A330" s="359">
        <v>3300</v>
      </c>
      <c r="B330" s="474" t="s">
        <v>57</v>
      </c>
      <c r="C330" s="377">
        <f>SUM(C338+C346+C355+C364+C373+C381+C389+C397+C413+C447+C455+C463+C479+C487+C496+C504+C512+C520+C528+C536+C544+C552+C560+C568+C577+C585+C593+C601+C609+C617+C625+C405+C421+C429+C438)</f>
        <v>497056</v>
      </c>
      <c r="D330" s="377">
        <f>SUM(D338+D346+D355+D364+D373+D381+D389+D397+D413+D447+D455+D463+D479+D487+D496+D504+D512+D520+D528+D536+D544+D552+D560+D568+D577+D585+D593+D601+D609+D617+D625+D405+D421+D429+D438)</f>
        <v>518667</v>
      </c>
      <c r="E330" s="377">
        <f>SUM(E338+E346+E355+E364+E373+E381+E389+E397+E413+E447+E455+E463+E479+E487+E496+E504+E512+E520+E528+E536+E544+E552+E560+E568+E577+E585+E593+E601+E609+E617+E625+E405+E421+E429+E438)</f>
        <v>520732</v>
      </c>
      <c r="F330" s="377">
        <f>SUM(F338+F346+F355+F364+F373+F381+F389+F397+F413+F447+F455+F463+F479+F487+F496+F504+F512+F520+F528+F536+F544+F552+F560+F568+F577+F585+F593+F601+F609+F617+F625+F405+F421+F429+F438)</f>
        <v>564034</v>
      </c>
      <c r="G330" s="377">
        <f>SUM(G338+G346+G355+G364+G373+G381+G389+G397+G413+G447+G455+G463+G479+G487+G496+G504+G512+G520+G528+G536+G544+G552+G560+G568+G577+G585+G593+G601+G609+G617+G625+G405+G421+G429+G438)</f>
        <v>566873</v>
      </c>
      <c r="H330" s="1185">
        <f>SUM(G330/F330)</f>
        <v>1.0050333845122812</v>
      </c>
      <c r="I330" s="486"/>
    </row>
    <row r="331" spans="1:9" ht="12" customHeight="1">
      <c r="A331" s="359">
        <v>3301</v>
      </c>
      <c r="B331" s="389" t="s">
        <v>157</v>
      </c>
      <c r="C331" s="367"/>
      <c r="D331" s="367"/>
      <c r="E331" s="367"/>
      <c r="F331" s="367"/>
      <c r="G331" s="367"/>
      <c r="H331" s="422"/>
      <c r="I331" s="419" t="s">
        <v>24</v>
      </c>
    </row>
    <row r="332" spans="1:9" ht="12" customHeight="1">
      <c r="A332" s="74"/>
      <c r="B332" s="371" t="s">
        <v>120</v>
      </c>
      <c r="C332" s="767">
        <v>800</v>
      </c>
      <c r="D332" s="767">
        <v>1056</v>
      </c>
      <c r="E332" s="767">
        <v>1056</v>
      </c>
      <c r="F332" s="767">
        <v>1078</v>
      </c>
      <c r="G332" s="1219">
        <v>1185</v>
      </c>
      <c r="H332" s="1186">
        <f>SUM(G332/F332)</f>
        <v>1.0992578849721706</v>
      </c>
      <c r="I332" s="450"/>
    </row>
    <row r="333" spans="1:9" ht="12" customHeight="1">
      <c r="A333" s="74"/>
      <c r="B333" s="182" t="s">
        <v>314</v>
      </c>
      <c r="C333" s="767">
        <v>250</v>
      </c>
      <c r="D333" s="767">
        <v>309</v>
      </c>
      <c r="E333" s="767">
        <v>309</v>
      </c>
      <c r="F333" s="767">
        <v>309</v>
      </c>
      <c r="G333" s="1219">
        <v>309</v>
      </c>
      <c r="H333" s="744">
        <f>SUM(G333/F333)</f>
        <v>1</v>
      </c>
      <c r="I333" s="465"/>
    </row>
    <row r="334" spans="1:9" ht="12" customHeight="1">
      <c r="A334" s="359"/>
      <c r="B334" s="372" t="s">
        <v>299</v>
      </c>
      <c r="C334" s="298">
        <v>5200</v>
      </c>
      <c r="D334" s="298">
        <v>5200</v>
      </c>
      <c r="E334" s="298">
        <v>5200</v>
      </c>
      <c r="F334" s="298">
        <v>5200</v>
      </c>
      <c r="G334" s="1216">
        <v>4093</v>
      </c>
      <c r="H334" s="744">
        <f>SUM(G334/F334)</f>
        <v>0.7871153846153847</v>
      </c>
      <c r="I334" s="465"/>
    </row>
    <row r="335" spans="1:9" ht="12" customHeight="1">
      <c r="A335" s="359"/>
      <c r="B335" s="299" t="s">
        <v>125</v>
      </c>
      <c r="C335" s="298"/>
      <c r="D335" s="298"/>
      <c r="E335" s="298"/>
      <c r="F335" s="298"/>
      <c r="G335" s="1216"/>
      <c r="H335" s="744"/>
      <c r="I335" s="465"/>
    </row>
    <row r="336" spans="1:9" ht="12" customHeight="1">
      <c r="A336" s="74"/>
      <c r="B336" s="299" t="s">
        <v>308</v>
      </c>
      <c r="C336" s="767">
        <v>1750</v>
      </c>
      <c r="D336" s="767">
        <v>2750</v>
      </c>
      <c r="E336" s="767">
        <v>2550</v>
      </c>
      <c r="F336" s="767">
        <v>2434</v>
      </c>
      <c r="G336" s="1219">
        <v>2434</v>
      </c>
      <c r="H336" s="744">
        <f>SUM(G336/F336)</f>
        <v>1</v>
      </c>
      <c r="I336" s="451"/>
    </row>
    <row r="337" spans="1:9" ht="12" customHeight="1" thickBot="1">
      <c r="A337" s="74"/>
      <c r="B337" s="434" t="s">
        <v>286</v>
      </c>
      <c r="C337" s="388">
        <v>3000</v>
      </c>
      <c r="D337" s="388">
        <v>4000</v>
      </c>
      <c r="E337" s="388">
        <v>4200</v>
      </c>
      <c r="F337" s="388">
        <v>4294</v>
      </c>
      <c r="G337" s="1223">
        <v>5294</v>
      </c>
      <c r="H337" s="1187">
        <f>SUM(G337/F337)</f>
        <v>1.232883092687471</v>
      </c>
      <c r="I337" s="487"/>
    </row>
    <row r="338" spans="1:9" ht="13.5" customHeight="1" thickBot="1">
      <c r="A338" s="382"/>
      <c r="B338" s="438" t="s">
        <v>142</v>
      </c>
      <c r="C338" s="377">
        <f>SUM(C332:C337)</f>
        <v>11000</v>
      </c>
      <c r="D338" s="377">
        <f>SUM(D332:D337)</f>
        <v>13315</v>
      </c>
      <c r="E338" s="377">
        <f>SUM(E332:E337)</f>
        <v>13315</v>
      </c>
      <c r="F338" s="377">
        <f>SUM(F332:F337)</f>
        <v>13315</v>
      </c>
      <c r="G338" s="377">
        <f>SUM(G332:G337)</f>
        <v>13315</v>
      </c>
      <c r="H338" s="1185">
        <f>SUM(G338/F338)</f>
        <v>1</v>
      </c>
      <c r="I338" s="454"/>
    </row>
    <row r="339" spans="1:9" ht="12">
      <c r="A339" s="359">
        <v>3302</v>
      </c>
      <c r="B339" s="389" t="s">
        <v>403</v>
      </c>
      <c r="C339" s="367"/>
      <c r="D339" s="367"/>
      <c r="E339" s="367"/>
      <c r="F339" s="367"/>
      <c r="G339" s="367"/>
      <c r="H339" s="422"/>
      <c r="I339" s="449"/>
    </row>
    <row r="340" spans="1:9" ht="12">
      <c r="A340" s="74"/>
      <c r="B340" s="371" t="s">
        <v>120</v>
      </c>
      <c r="C340" s="367"/>
      <c r="D340" s="367"/>
      <c r="E340" s="367"/>
      <c r="F340" s="367"/>
      <c r="G340" s="367"/>
      <c r="H340" s="422"/>
      <c r="I340" s="450"/>
    </row>
    <row r="341" spans="1:9" ht="12">
      <c r="A341" s="74"/>
      <c r="B341" s="182" t="s">
        <v>314</v>
      </c>
      <c r="C341" s="767"/>
      <c r="D341" s="767"/>
      <c r="E341" s="767"/>
      <c r="F341" s="767"/>
      <c r="G341" s="767"/>
      <c r="H341" s="422"/>
      <c r="I341" s="579"/>
    </row>
    <row r="342" spans="1:9" ht="12">
      <c r="A342" s="359"/>
      <c r="B342" s="372" t="s">
        <v>299</v>
      </c>
      <c r="C342" s="298">
        <v>197000</v>
      </c>
      <c r="D342" s="298">
        <v>197000</v>
      </c>
      <c r="E342" s="298">
        <v>197000</v>
      </c>
      <c r="F342" s="298">
        <v>240290</v>
      </c>
      <c r="G342" s="298">
        <v>240290</v>
      </c>
      <c r="H342" s="744">
        <f>SUM(G342/F342)</f>
        <v>1</v>
      </c>
      <c r="I342" s="579"/>
    </row>
    <row r="343" spans="1:9" ht="12">
      <c r="A343" s="359"/>
      <c r="B343" s="299" t="s">
        <v>125</v>
      </c>
      <c r="C343" s="298"/>
      <c r="D343" s="298"/>
      <c r="E343" s="298"/>
      <c r="F343" s="298"/>
      <c r="G343" s="298"/>
      <c r="H343" s="422"/>
      <c r="I343" s="465"/>
    </row>
    <row r="344" spans="1:9" ht="12">
      <c r="A344" s="74"/>
      <c r="B344" s="299" t="s">
        <v>308</v>
      </c>
      <c r="C344" s="767"/>
      <c r="D344" s="767"/>
      <c r="E344" s="767"/>
      <c r="F344" s="767"/>
      <c r="G344" s="767"/>
      <c r="H344" s="422"/>
      <c r="I344" s="451"/>
    </row>
    <row r="345" spans="1:9" ht="12.75" thickBot="1">
      <c r="A345" s="74"/>
      <c r="B345" s="434" t="s">
        <v>93</v>
      </c>
      <c r="C345" s="768"/>
      <c r="D345" s="768"/>
      <c r="E345" s="768"/>
      <c r="F345" s="768"/>
      <c r="G345" s="768"/>
      <c r="H345" s="1182"/>
      <c r="I345" s="487"/>
    </row>
    <row r="346" spans="1:9" ht="12.75" thickBot="1">
      <c r="A346" s="382"/>
      <c r="B346" s="438" t="s">
        <v>142</v>
      </c>
      <c r="C346" s="377">
        <f>SUM(C340:C345)</f>
        <v>197000</v>
      </c>
      <c r="D346" s="377">
        <f>SUM(D340:D345)</f>
        <v>197000</v>
      </c>
      <c r="E346" s="377">
        <f>SUM(E340:E345)</f>
        <v>197000</v>
      </c>
      <c r="F346" s="377">
        <f>SUM(F340:F345)</f>
        <v>240290</v>
      </c>
      <c r="G346" s="377">
        <f>SUM(G340:G345)</f>
        <v>240290</v>
      </c>
      <c r="H346" s="1185">
        <f>SUM(G346/F346)</f>
        <v>1</v>
      </c>
      <c r="I346" s="454"/>
    </row>
    <row r="347" spans="1:9" ht="12" customHeight="1">
      <c r="A347" s="74">
        <v>3305</v>
      </c>
      <c r="B347" s="461" t="s">
        <v>211</v>
      </c>
      <c r="C347" s="367"/>
      <c r="D347" s="367"/>
      <c r="E347" s="367"/>
      <c r="F347" s="367"/>
      <c r="G347" s="367"/>
      <c r="H347" s="422"/>
      <c r="I347" s="488"/>
    </row>
    <row r="348" spans="1:9" ht="12" customHeight="1">
      <c r="A348" s="370"/>
      <c r="B348" s="371" t="s">
        <v>120</v>
      </c>
      <c r="C348" s="298"/>
      <c r="D348" s="298"/>
      <c r="E348" s="298"/>
      <c r="F348" s="298"/>
      <c r="G348" s="298"/>
      <c r="H348" s="422"/>
      <c r="I348" s="489"/>
    </row>
    <row r="349" spans="1:9" ht="12" customHeight="1">
      <c r="A349" s="370"/>
      <c r="B349" s="182" t="s">
        <v>314</v>
      </c>
      <c r="C349" s="298"/>
      <c r="D349" s="298"/>
      <c r="E349" s="298"/>
      <c r="F349" s="298"/>
      <c r="G349" s="298"/>
      <c r="H349" s="422"/>
      <c r="I349" s="492"/>
    </row>
    <row r="350" spans="1:9" ht="12" customHeight="1">
      <c r="A350" s="370"/>
      <c r="B350" s="372" t="s">
        <v>299</v>
      </c>
      <c r="C350" s="298"/>
      <c r="D350" s="298"/>
      <c r="E350" s="298"/>
      <c r="F350" s="298"/>
      <c r="G350" s="298"/>
      <c r="H350" s="422"/>
      <c r="I350" s="579"/>
    </row>
    <row r="351" spans="1:9" ht="12" customHeight="1">
      <c r="A351" s="370"/>
      <c r="B351" s="299" t="s">
        <v>125</v>
      </c>
      <c r="C351" s="298">
        <v>11000</v>
      </c>
      <c r="D351" s="298">
        <v>11000</v>
      </c>
      <c r="E351" s="298">
        <v>11000</v>
      </c>
      <c r="F351" s="298">
        <v>11000</v>
      </c>
      <c r="G351" s="298">
        <v>11000</v>
      </c>
      <c r="H351" s="744">
        <f>SUM(G351/F351)</f>
        <v>1</v>
      </c>
      <c r="I351" s="633"/>
    </row>
    <row r="352" spans="1:9" ht="12" customHeight="1">
      <c r="A352" s="370"/>
      <c r="B352" s="299" t="s">
        <v>308</v>
      </c>
      <c r="C352" s="767"/>
      <c r="D352" s="767"/>
      <c r="E352" s="767"/>
      <c r="F352" s="767"/>
      <c r="G352" s="767"/>
      <c r="H352" s="422"/>
      <c r="I352" s="489"/>
    </row>
    <row r="353" spans="1:9" ht="12" customHeight="1">
      <c r="A353" s="370"/>
      <c r="B353" s="299" t="s">
        <v>125</v>
      </c>
      <c r="C353" s="298"/>
      <c r="D353" s="298"/>
      <c r="E353" s="298"/>
      <c r="F353" s="298"/>
      <c r="G353" s="298"/>
      <c r="H353" s="422"/>
      <c r="I353" s="493"/>
    </row>
    <row r="354" spans="1:9" ht="12" customHeight="1" thickBot="1">
      <c r="A354" s="370"/>
      <c r="B354" s="434" t="s">
        <v>93</v>
      </c>
      <c r="C354" s="769"/>
      <c r="D354" s="769"/>
      <c r="E354" s="769"/>
      <c r="F354" s="769"/>
      <c r="G354" s="769"/>
      <c r="H354" s="1182"/>
      <c r="I354" s="468"/>
    </row>
    <row r="355" spans="1:9" ht="12" customHeight="1" thickBot="1">
      <c r="A355" s="382"/>
      <c r="B355" s="438" t="s">
        <v>142</v>
      </c>
      <c r="C355" s="377">
        <f>SUM(C348:C354)</f>
        <v>11000</v>
      </c>
      <c r="D355" s="377">
        <f>SUM(D348:D354)</f>
        <v>11000</v>
      </c>
      <c r="E355" s="377">
        <f>SUM(E348:E354)</f>
        <v>11000</v>
      </c>
      <c r="F355" s="377">
        <f>SUM(F348:F354)</f>
        <v>11000</v>
      </c>
      <c r="G355" s="377">
        <f>SUM(G348:G354)</f>
        <v>11000</v>
      </c>
      <c r="H355" s="1185">
        <f>SUM(G355/F355)</f>
        <v>1</v>
      </c>
      <c r="I355" s="491"/>
    </row>
    <row r="356" spans="1:9" ht="12" customHeight="1">
      <c r="A356" s="74">
        <v>3306</v>
      </c>
      <c r="B356" s="461" t="s">
        <v>212</v>
      </c>
      <c r="C356" s="367"/>
      <c r="D356" s="367"/>
      <c r="E356" s="367"/>
      <c r="F356" s="367"/>
      <c r="G356" s="367"/>
      <c r="H356" s="422"/>
      <c r="I356" s="488"/>
    </row>
    <row r="357" spans="1:9" ht="12" customHeight="1">
      <c r="A357" s="370"/>
      <c r="B357" s="371" t="s">
        <v>120</v>
      </c>
      <c r="C357" s="298"/>
      <c r="D357" s="298"/>
      <c r="E357" s="298"/>
      <c r="F357" s="298"/>
      <c r="G357" s="298"/>
      <c r="H357" s="422"/>
      <c r="I357" s="489"/>
    </row>
    <row r="358" spans="1:9" ht="12" customHeight="1">
      <c r="A358" s="370"/>
      <c r="B358" s="182" t="s">
        <v>314</v>
      </c>
      <c r="C358" s="298"/>
      <c r="D358" s="298"/>
      <c r="E358" s="298"/>
      <c r="F358" s="298"/>
      <c r="G358" s="298"/>
      <c r="H358" s="422"/>
      <c r="I358" s="492"/>
    </row>
    <row r="359" spans="1:9" ht="12" customHeight="1">
      <c r="A359" s="370"/>
      <c r="B359" s="372" t="s">
        <v>299</v>
      </c>
      <c r="C359" s="298">
        <v>150</v>
      </c>
      <c r="D359" s="298">
        <v>150</v>
      </c>
      <c r="E359" s="298">
        <v>150</v>
      </c>
      <c r="F359" s="298">
        <v>150</v>
      </c>
      <c r="G359" s="298">
        <v>150</v>
      </c>
      <c r="H359" s="744">
        <f>SUM(G359/F359)</f>
        <v>1</v>
      </c>
      <c r="I359" s="490"/>
    </row>
    <row r="360" spans="1:9" ht="12" customHeight="1">
      <c r="A360" s="370"/>
      <c r="B360" s="299" t="s">
        <v>125</v>
      </c>
      <c r="C360" s="298">
        <v>4850</v>
      </c>
      <c r="D360" s="298">
        <v>4880</v>
      </c>
      <c r="E360" s="298">
        <v>4880</v>
      </c>
      <c r="F360" s="298">
        <v>4880</v>
      </c>
      <c r="G360" s="298">
        <v>4880</v>
      </c>
      <c r="H360" s="744">
        <f>SUM(G360/F360)</f>
        <v>1</v>
      </c>
      <c r="I360" s="579"/>
    </row>
    <row r="361" spans="1:9" ht="12" customHeight="1">
      <c r="A361" s="370"/>
      <c r="B361" s="299" t="s">
        <v>308</v>
      </c>
      <c r="C361" s="767"/>
      <c r="D361" s="767"/>
      <c r="E361" s="767"/>
      <c r="F361" s="767"/>
      <c r="G361" s="767"/>
      <c r="H361" s="422"/>
      <c r="I361" s="489"/>
    </row>
    <row r="362" spans="1:9" ht="12" customHeight="1">
      <c r="A362" s="370"/>
      <c r="B362" s="299" t="s">
        <v>125</v>
      </c>
      <c r="C362" s="298"/>
      <c r="D362" s="298"/>
      <c r="E362" s="298"/>
      <c r="F362" s="298"/>
      <c r="G362" s="298"/>
      <c r="H362" s="422"/>
      <c r="I362" s="493"/>
    </row>
    <row r="363" spans="1:9" ht="12" customHeight="1" thickBot="1">
      <c r="A363" s="370"/>
      <c r="B363" s="434" t="s">
        <v>93</v>
      </c>
      <c r="C363" s="769"/>
      <c r="D363" s="769"/>
      <c r="E363" s="769"/>
      <c r="F363" s="769"/>
      <c r="G363" s="769"/>
      <c r="H363" s="1182"/>
      <c r="I363" s="468"/>
    </row>
    <row r="364" spans="1:9" ht="12" customHeight="1" thickBot="1">
      <c r="A364" s="382"/>
      <c r="B364" s="438" t="s">
        <v>142</v>
      </c>
      <c r="C364" s="377">
        <f>SUM(C359:C360)</f>
        <v>5000</v>
      </c>
      <c r="D364" s="377">
        <f>SUM(D359:D360)</f>
        <v>5030</v>
      </c>
      <c r="E364" s="377">
        <f>SUM(E359:E360)</f>
        <v>5030</v>
      </c>
      <c r="F364" s="377">
        <f>SUM(F359:F360)</f>
        <v>5030</v>
      </c>
      <c r="G364" s="377">
        <f>SUM(G359:G360)</f>
        <v>5030</v>
      </c>
      <c r="H364" s="1185">
        <f>SUM(G364/F364)</f>
        <v>1</v>
      </c>
      <c r="I364" s="491"/>
    </row>
    <row r="365" spans="1:9" ht="12" customHeight="1">
      <c r="A365" s="74">
        <v>3307</v>
      </c>
      <c r="B365" s="461" t="s">
        <v>213</v>
      </c>
      <c r="C365" s="367"/>
      <c r="D365" s="367"/>
      <c r="E365" s="367"/>
      <c r="F365" s="367"/>
      <c r="G365" s="367"/>
      <c r="H365" s="422"/>
      <c r="I365" s="488"/>
    </row>
    <row r="366" spans="1:9" ht="12" customHeight="1">
      <c r="A366" s="370"/>
      <c r="B366" s="371" t="s">
        <v>120</v>
      </c>
      <c r="C366" s="298"/>
      <c r="D366" s="298"/>
      <c r="E366" s="298"/>
      <c r="F366" s="298"/>
      <c r="G366" s="298"/>
      <c r="H366" s="422"/>
      <c r="I366" s="489"/>
    </row>
    <row r="367" spans="1:9" ht="12" customHeight="1">
      <c r="A367" s="370"/>
      <c r="B367" s="182" t="s">
        <v>314</v>
      </c>
      <c r="C367" s="298"/>
      <c r="D367" s="298"/>
      <c r="E367" s="298"/>
      <c r="F367" s="298"/>
      <c r="G367" s="298"/>
      <c r="H367" s="422"/>
      <c r="I367" s="492"/>
    </row>
    <row r="368" spans="1:9" ht="12" customHeight="1">
      <c r="A368" s="370"/>
      <c r="B368" s="372" t="s">
        <v>299</v>
      </c>
      <c r="C368" s="298"/>
      <c r="D368" s="298"/>
      <c r="E368" s="298"/>
      <c r="F368" s="298"/>
      <c r="G368" s="298"/>
      <c r="H368" s="422"/>
      <c r="I368" s="490"/>
    </row>
    <row r="369" spans="1:9" ht="12" customHeight="1">
      <c r="A369" s="370"/>
      <c r="B369" s="299" t="s">
        <v>125</v>
      </c>
      <c r="C369" s="298"/>
      <c r="D369" s="298"/>
      <c r="E369" s="298">
        <v>2937</v>
      </c>
      <c r="F369" s="298">
        <v>2937</v>
      </c>
      <c r="G369" s="298">
        <v>2937</v>
      </c>
      <c r="H369" s="744">
        <f>SUM(G369/F369)</f>
        <v>1</v>
      </c>
      <c r="I369" s="633"/>
    </row>
    <row r="370" spans="1:9" ht="12" customHeight="1">
      <c r="A370" s="370"/>
      <c r="B370" s="299" t="s">
        <v>308</v>
      </c>
      <c r="C370" s="767">
        <v>4000</v>
      </c>
      <c r="D370" s="767">
        <v>4000</v>
      </c>
      <c r="E370" s="767">
        <v>1063</v>
      </c>
      <c r="F370" s="767">
        <v>1063</v>
      </c>
      <c r="G370" s="767">
        <v>1063</v>
      </c>
      <c r="H370" s="744">
        <f>SUM(G370/F370)</f>
        <v>1</v>
      </c>
      <c r="I370" s="579"/>
    </row>
    <row r="371" spans="1:9" ht="12" customHeight="1">
      <c r="A371" s="370"/>
      <c r="B371" s="299" t="s">
        <v>125</v>
      </c>
      <c r="C371" s="298"/>
      <c r="D371" s="298"/>
      <c r="E371" s="298"/>
      <c r="F371" s="298"/>
      <c r="G371" s="298"/>
      <c r="H371" s="422"/>
      <c r="I371" s="493"/>
    </row>
    <row r="372" spans="1:9" ht="12" customHeight="1" thickBot="1">
      <c r="A372" s="370"/>
      <c r="B372" s="434" t="s">
        <v>93</v>
      </c>
      <c r="C372" s="769"/>
      <c r="D372" s="769"/>
      <c r="E372" s="769"/>
      <c r="F372" s="769"/>
      <c r="G372" s="769"/>
      <c r="H372" s="1182"/>
      <c r="I372" s="468"/>
    </row>
    <row r="373" spans="1:9" ht="12" customHeight="1" thickBot="1">
      <c r="A373" s="382"/>
      <c r="B373" s="438" t="s">
        <v>142</v>
      </c>
      <c r="C373" s="377">
        <f>SUM(C366:C372)</f>
        <v>4000</v>
      </c>
      <c r="D373" s="377">
        <f>SUM(D366:D372)</f>
        <v>4000</v>
      </c>
      <c r="E373" s="377">
        <f>SUM(E366:E372)</f>
        <v>4000</v>
      </c>
      <c r="F373" s="377">
        <f>SUM(F366:F372)</f>
        <v>4000</v>
      </c>
      <c r="G373" s="377">
        <f>SUM(G366:G372)</f>
        <v>4000</v>
      </c>
      <c r="H373" s="1185">
        <f>SUM(G373/F373)</f>
        <v>1</v>
      </c>
      <c r="I373" s="491"/>
    </row>
    <row r="374" spans="1:9" ht="12.75" customHeight="1">
      <c r="A374" s="74">
        <v>3310</v>
      </c>
      <c r="B374" s="212" t="s">
        <v>423</v>
      </c>
      <c r="C374" s="367"/>
      <c r="D374" s="367"/>
      <c r="E374" s="367"/>
      <c r="F374" s="367"/>
      <c r="G374" s="367"/>
      <c r="H374" s="422"/>
      <c r="I374" s="450"/>
    </row>
    <row r="375" spans="1:9" ht="12.75" customHeight="1">
      <c r="A375" s="370"/>
      <c r="B375" s="371" t="s">
        <v>120</v>
      </c>
      <c r="C375" s="298"/>
      <c r="D375" s="298"/>
      <c r="E375" s="298"/>
      <c r="F375" s="298"/>
      <c r="G375" s="298"/>
      <c r="H375" s="422"/>
      <c r="I375" s="450"/>
    </row>
    <row r="376" spans="1:9" ht="12.75" customHeight="1">
      <c r="A376" s="370"/>
      <c r="B376" s="182" t="s">
        <v>314</v>
      </c>
      <c r="C376" s="298"/>
      <c r="D376" s="298"/>
      <c r="E376" s="298"/>
      <c r="F376" s="298"/>
      <c r="G376" s="298"/>
      <c r="H376" s="422"/>
      <c r="I376" s="450"/>
    </row>
    <row r="377" spans="1:9" ht="12.75" customHeight="1">
      <c r="A377" s="370"/>
      <c r="B377" s="372" t="s">
        <v>299</v>
      </c>
      <c r="C377" s="298"/>
      <c r="D377" s="298"/>
      <c r="E377" s="298"/>
      <c r="F377" s="298"/>
      <c r="G377" s="298"/>
      <c r="H377" s="422"/>
      <c r="I377" s="579"/>
    </row>
    <row r="378" spans="1:9" ht="12.75" customHeight="1">
      <c r="A378" s="370"/>
      <c r="B378" s="299" t="s">
        <v>125</v>
      </c>
      <c r="C378" s="298">
        <v>7000</v>
      </c>
      <c r="D378" s="298">
        <v>7000</v>
      </c>
      <c r="E378" s="298">
        <v>7000</v>
      </c>
      <c r="F378" s="298">
        <v>7000</v>
      </c>
      <c r="G378" s="298">
        <v>7000</v>
      </c>
      <c r="H378" s="744">
        <f>SUM(G378/F378)</f>
        <v>1</v>
      </c>
      <c r="I378" s="583"/>
    </row>
    <row r="379" spans="1:9" ht="12.75" customHeight="1">
      <c r="A379" s="370"/>
      <c r="B379" s="299" t="s">
        <v>308</v>
      </c>
      <c r="C379" s="767"/>
      <c r="D379" s="767"/>
      <c r="E379" s="767"/>
      <c r="F379" s="767"/>
      <c r="G379" s="767"/>
      <c r="H379" s="422"/>
      <c r="I379" s="490"/>
    </row>
    <row r="380" spans="1:9" ht="12.75" customHeight="1" thickBot="1">
      <c r="A380" s="370"/>
      <c r="B380" s="434" t="s">
        <v>93</v>
      </c>
      <c r="C380" s="769"/>
      <c r="D380" s="769"/>
      <c r="E380" s="769"/>
      <c r="F380" s="769"/>
      <c r="G380" s="769"/>
      <c r="H380" s="1182"/>
      <c r="I380" s="468"/>
    </row>
    <row r="381" spans="1:9" ht="12.75" customHeight="1" thickBot="1">
      <c r="A381" s="382"/>
      <c r="B381" s="438" t="s">
        <v>142</v>
      </c>
      <c r="C381" s="377">
        <f>SUM(C375:C380)</f>
        <v>7000</v>
      </c>
      <c r="D381" s="377">
        <f>SUM(D375:D380)</f>
        <v>7000</v>
      </c>
      <c r="E381" s="377">
        <f>SUM(E375:E380)</f>
        <v>7000</v>
      </c>
      <c r="F381" s="377">
        <f>SUM(F375:F380)</f>
        <v>7000</v>
      </c>
      <c r="G381" s="377">
        <f>SUM(G375:G380)</f>
        <v>7000</v>
      </c>
      <c r="H381" s="1185">
        <f>SUM(G381/F381)</f>
        <v>1</v>
      </c>
      <c r="I381" s="454"/>
    </row>
    <row r="382" spans="1:9" ht="12" customHeight="1">
      <c r="A382" s="74">
        <v>3311</v>
      </c>
      <c r="B382" s="212" t="s">
        <v>143</v>
      </c>
      <c r="C382" s="367"/>
      <c r="D382" s="367"/>
      <c r="E382" s="367"/>
      <c r="F382" s="367"/>
      <c r="G382" s="367"/>
      <c r="H382" s="422"/>
      <c r="I382" s="450"/>
    </row>
    <row r="383" spans="1:9" ht="12" customHeight="1">
      <c r="A383" s="370"/>
      <c r="B383" s="371" t="s">
        <v>120</v>
      </c>
      <c r="C383" s="298"/>
      <c r="D383" s="298"/>
      <c r="E383" s="298"/>
      <c r="F383" s="298"/>
      <c r="G383" s="298"/>
      <c r="H383" s="422"/>
      <c r="I383" s="450"/>
    </row>
    <row r="384" spans="1:9" ht="12" customHeight="1">
      <c r="A384" s="370"/>
      <c r="B384" s="182" t="s">
        <v>314</v>
      </c>
      <c r="C384" s="298"/>
      <c r="D384" s="298"/>
      <c r="E384" s="298"/>
      <c r="F384" s="298"/>
      <c r="G384" s="298"/>
      <c r="H384" s="422"/>
      <c r="I384" s="450"/>
    </row>
    <row r="385" spans="1:9" ht="12" customHeight="1">
      <c r="A385" s="370"/>
      <c r="B385" s="372" t="s">
        <v>299</v>
      </c>
      <c r="C385" s="298"/>
      <c r="D385" s="298"/>
      <c r="E385" s="298"/>
      <c r="F385" s="298"/>
      <c r="G385" s="298"/>
      <c r="H385" s="422"/>
      <c r="I385" s="579"/>
    </row>
    <row r="386" spans="1:9" ht="12" customHeight="1">
      <c r="A386" s="370"/>
      <c r="B386" s="299" t="s">
        <v>125</v>
      </c>
      <c r="C386" s="298">
        <v>12000</v>
      </c>
      <c r="D386" s="298">
        <v>12000</v>
      </c>
      <c r="E386" s="298">
        <v>12000</v>
      </c>
      <c r="F386" s="298">
        <v>12000</v>
      </c>
      <c r="G386" s="298">
        <v>12000</v>
      </c>
      <c r="H386" s="1186">
        <f>SUM(G386/F386)</f>
        <v>1</v>
      </c>
      <c r="I386" s="633"/>
    </row>
    <row r="387" spans="1:9" ht="12" customHeight="1">
      <c r="A387" s="370"/>
      <c r="B387" s="299" t="s">
        <v>308</v>
      </c>
      <c r="C387" s="767"/>
      <c r="D387" s="767"/>
      <c r="E387" s="767"/>
      <c r="F387" s="767"/>
      <c r="G387" s="767"/>
      <c r="H387" s="422"/>
      <c r="I387" s="490"/>
    </row>
    <row r="388" spans="1:9" ht="12" customHeight="1" thickBot="1">
      <c r="A388" s="370"/>
      <c r="B388" s="434" t="s">
        <v>93</v>
      </c>
      <c r="C388" s="769"/>
      <c r="D388" s="769"/>
      <c r="E388" s="769"/>
      <c r="F388" s="769"/>
      <c r="G388" s="769"/>
      <c r="H388" s="1182"/>
      <c r="I388" s="468"/>
    </row>
    <row r="389" spans="1:9" ht="12.75" thickBot="1">
      <c r="A389" s="382"/>
      <c r="B389" s="438" t="s">
        <v>142</v>
      </c>
      <c r="C389" s="377">
        <f>SUM(C383:C388)</f>
        <v>12000</v>
      </c>
      <c r="D389" s="377">
        <f>SUM(D383:D388)</f>
        <v>12000</v>
      </c>
      <c r="E389" s="377">
        <f>SUM(E383:E388)</f>
        <v>12000</v>
      </c>
      <c r="F389" s="377">
        <f>SUM(F383:F388)</f>
        <v>12000</v>
      </c>
      <c r="G389" s="377">
        <f>SUM(G383:G388)</f>
        <v>12000</v>
      </c>
      <c r="H389" s="1185">
        <f>SUM(G389/F389)</f>
        <v>1</v>
      </c>
      <c r="I389" s="454"/>
    </row>
    <row r="390" spans="1:9" ht="12">
      <c r="A390" s="383">
        <v>3312</v>
      </c>
      <c r="B390" s="212" t="s">
        <v>405</v>
      </c>
      <c r="C390" s="367"/>
      <c r="D390" s="367"/>
      <c r="E390" s="367"/>
      <c r="F390" s="367"/>
      <c r="G390" s="367"/>
      <c r="H390" s="422"/>
      <c r="I390" s="450"/>
    </row>
    <row r="391" spans="1:9" ht="12">
      <c r="A391" s="370"/>
      <c r="B391" s="371" t="s">
        <v>120</v>
      </c>
      <c r="C391" s="298"/>
      <c r="D391" s="298"/>
      <c r="E391" s="298"/>
      <c r="F391" s="298"/>
      <c r="G391" s="298"/>
      <c r="H391" s="422"/>
      <c r="I391" s="450"/>
    </row>
    <row r="392" spans="1:9" ht="12.75">
      <c r="A392" s="370"/>
      <c r="B392" s="182" t="s">
        <v>314</v>
      </c>
      <c r="C392" s="298"/>
      <c r="D392" s="298"/>
      <c r="E392" s="298"/>
      <c r="F392" s="298"/>
      <c r="G392" s="298"/>
      <c r="H392" s="422"/>
      <c r="I392" s="490"/>
    </row>
    <row r="393" spans="1:9" ht="12">
      <c r="A393" s="370"/>
      <c r="B393" s="372" t="s">
        <v>299</v>
      </c>
      <c r="C393" s="298">
        <v>900</v>
      </c>
      <c r="D393" s="298">
        <v>900</v>
      </c>
      <c r="E393" s="298">
        <v>900</v>
      </c>
      <c r="F393" s="298">
        <v>900</v>
      </c>
      <c r="G393" s="298">
        <v>900</v>
      </c>
      <c r="H393" s="744">
        <f>SUM(G393/F393)</f>
        <v>1</v>
      </c>
      <c r="I393" s="579"/>
    </row>
    <row r="394" spans="1:9" ht="12">
      <c r="A394" s="370"/>
      <c r="B394" s="299" t="s">
        <v>125</v>
      </c>
      <c r="C394" s="298">
        <v>19100</v>
      </c>
      <c r="D394" s="298">
        <v>19174</v>
      </c>
      <c r="E394" s="298">
        <v>19174</v>
      </c>
      <c r="F394" s="298">
        <v>19174</v>
      </c>
      <c r="G394" s="298">
        <v>19174</v>
      </c>
      <c r="H394" s="744">
        <f>SUM(G394/F394)</f>
        <v>1</v>
      </c>
      <c r="I394" s="450"/>
    </row>
    <row r="395" spans="1:9" ht="12">
      <c r="A395" s="370"/>
      <c r="B395" s="299" t="s">
        <v>308</v>
      </c>
      <c r="C395" s="767"/>
      <c r="D395" s="767"/>
      <c r="E395" s="767"/>
      <c r="F395" s="767"/>
      <c r="G395" s="767"/>
      <c r="H395" s="422"/>
      <c r="I395" s="450"/>
    </row>
    <row r="396" spans="1:9" ht="12.75" thickBot="1">
      <c r="A396" s="370"/>
      <c r="B396" s="434" t="s">
        <v>93</v>
      </c>
      <c r="C396" s="769"/>
      <c r="D396" s="769"/>
      <c r="E396" s="769"/>
      <c r="F396" s="769"/>
      <c r="G396" s="769"/>
      <c r="H396" s="1182"/>
      <c r="I396" s="468"/>
    </row>
    <row r="397" spans="1:9" ht="12.75" thickBot="1">
      <c r="A397" s="382"/>
      <c r="B397" s="438" t="s">
        <v>142</v>
      </c>
      <c r="C397" s="377">
        <f>SUM(C391:C396)</f>
        <v>20000</v>
      </c>
      <c r="D397" s="377">
        <f>SUM(D391:D396)</f>
        <v>20074</v>
      </c>
      <c r="E397" s="377">
        <f>SUM(E391:E396)</f>
        <v>20074</v>
      </c>
      <c r="F397" s="377">
        <f>SUM(F391:F396)</f>
        <v>20074</v>
      </c>
      <c r="G397" s="377">
        <f>SUM(G391:G396)</f>
        <v>20074</v>
      </c>
      <c r="H397" s="1185">
        <f>SUM(G397/F397)</f>
        <v>1</v>
      </c>
      <c r="I397" s="454"/>
    </row>
    <row r="398" spans="1:9" ht="12">
      <c r="A398" s="383">
        <v>3313</v>
      </c>
      <c r="B398" s="212" t="s">
        <v>10</v>
      </c>
      <c r="C398" s="367"/>
      <c r="D398" s="367"/>
      <c r="E398" s="367"/>
      <c r="F398" s="367"/>
      <c r="G398" s="367"/>
      <c r="H398" s="422"/>
      <c r="I398" s="450"/>
    </row>
    <row r="399" spans="1:9" ht="12">
      <c r="A399" s="370"/>
      <c r="B399" s="371" t="s">
        <v>120</v>
      </c>
      <c r="C399" s="298"/>
      <c r="D399" s="298"/>
      <c r="E399" s="298"/>
      <c r="F399" s="298"/>
      <c r="G399" s="298"/>
      <c r="H399" s="422"/>
      <c r="I399" s="450"/>
    </row>
    <row r="400" spans="1:9" ht="12.75">
      <c r="A400" s="370"/>
      <c r="B400" s="182" t="s">
        <v>314</v>
      </c>
      <c r="C400" s="298"/>
      <c r="D400" s="298"/>
      <c r="E400" s="298"/>
      <c r="F400" s="298"/>
      <c r="G400" s="298"/>
      <c r="H400" s="422"/>
      <c r="I400" s="490"/>
    </row>
    <row r="401" spans="1:9" ht="12">
      <c r="A401" s="370"/>
      <c r="B401" s="372" t="s">
        <v>299</v>
      </c>
      <c r="C401" s="298">
        <v>230</v>
      </c>
      <c r="D401" s="298">
        <v>230</v>
      </c>
      <c r="E401" s="298">
        <v>230</v>
      </c>
      <c r="F401" s="298">
        <v>230</v>
      </c>
      <c r="G401" s="298">
        <v>230</v>
      </c>
      <c r="H401" s="744">
        <f>SUM(G401/F401)</f>
        <v>1</v>
      </c>
      <c r="I401" s="579"/>
    </row>
    <row r="402" spans="1:9" ht="12">
      <c r="A402" s="370"/>
      <c r="B402" s="299" t="s">
        <v>125</v>
      </c>
      <c r="C402" s="298">
        <v>9270</v>
      </c>
      <c r="D402" s="298">
        <v>9270</v>
      </c>
      <c r="E402" s="298">
        <v>9270</v>
      </c>
      <c r="F402" s="298">
        <v>9270</v>
      </c>
      <c r="G402" s="298">
        <v>9270</v>
      </c>
      <c r="H402" s="744">
        <f>SUM(G402/F402)</f>
        <v>1</v>
      </c>
      <c r="I402" s="450"/>
    </row>
    <row r="403" spans="1:9" ht="12">
      <c r="A403" s="370"/>
      <c r="B403" s="299" t="s">
        <v>308</v>
      </c>
      <c r="C403" s="767"/>
      <c r="D403" s="767"/>
      <c r="E403" s="767"/>
      <c r="F403" s="767"/>
      <c r="G403" s="767"/>
      <c r="H403" s="422"/>
      <c r="I403" s="450"/>
    </row>
    <row r="404" spans="1:9" ht="12.75" thickBot="1">
      <c r="A404" s="370"/>
      <c r="B404" s="434" t="s">
        <v>93</v>
      </c>
      <c r="C404" s="769"/>
      <c r="D404" s="769"/>
      <c r="E404" s="769"/>
      <c r="F404" s="769"/>
      <c r="G404" s="769"/>
      <c r="H404" s="1182"/>
      <c r="I404" s="468"/>
    </row>
    <row r="405" spans="1:9" ht="12.75" thickBot="1">
      <c r="A405" s="382"/>
      <c r="B405" s="438" t="s">
        <v>142</v>
      </c>
      <c r="C405" s="377">
        <f>SUM(C399:C404)</f>
        <v>9500</v>
      </c>
      <c r="D405" s="377">
        <f>SUM(D399:D404)</f>
        <v>9500</v>
      </c>
      <c r="E405" s="377">
        <f>SUM(E399:E404)</f>
        <v>9500</v>
      </c>
      <c r="F405" s="377">
        <f>SUM(F399:F404)</f>
        <v>9500</v>
      </c>
      <c r="G405" s="377">
        <f>SUM(G399:G404)</f>
        <v>9500</v>
      </c>
      <c r="H405" s="1185">
        <f>SUM(G405/F405)</f>
        <v>1</v>
      </c>
      <c r="I405" s="454"/>
    </row>
    <row r="406" spans="1:9" ht="12">
      <c r="A406" s="383">
        <v>3315</v>
      </c>
      <c r="B406" s="212" t="s">
        <v>11</v>
      </c>
      <c r="C406" s="367"/>
      <c r="D406" s="367"/>
      <c r="E406" s="367"/>
      <c r="F406" s="367"/>
      <c r="G406" s="367"/>
      <c r="H406" s="422"/>
      <c r="I406" s="450"/>
    </row>
    <row r="407" spans="1:9" ht="12">
      <c r="A407" s="370"/>
      <c r="B407" s="371" t="s">
        <v>120</v>
      </c>
      <c r="C407" s="298"/>
      <c r="D407" s="298"/>
      <c r="E407" s="298"/>
      <c r="F407" s="298"/>
      <c r="G407" s="298"/>
      <c r="H407" s="422"/>
      <c r="I407" s="450"/>
    </row>
    <row r="408" spans="1:9" ht="12.75">
      <c r="A408" s="370"/>
      <c r="B408" s="182" t="s">
        <v>314</v>
      </c>
      <c r="C408" s="298"/>
      <c r="D408" s="298"/>
      <c r="E408" s="298"/>
      <c r="F408" s="298"/>
      <c r="G408" s="298"/>
      <c r="H408" s="422"/>
      <c r="I408" s="490"/>
    </row>
    <row r="409" spans="1:9" ht="12">
      <c r="A409" s="370"/>
      <c r="B409" s="372" t="s">
        <v>299</v>
      </c>
      <c r="C409" s="298"/>
      <c r="D409" s="298"/>
      <c r="E409" s="298"/>
      <c r="F409" s="298"/>
      <c r="G409" s="298"/>
      <c r="H409" s="422"/>
      <c r="I409" s="579"/>
    </row>
    <row r="410" spans="1:9" ht="12">
      <c r="A410" s="370"/>
      <c r="B410" s="299" t="s">
        <v>125</v>
      </c>
      <c r="C410" s="298">
        <v>12000</v>
      </c>
      <c r="D410" s="298">
        <v>12000</v>
      </c>
      <c r="E410" s="298">
        <v>12000</v>
      </c>
      <c r="F410" s="298">
        <v>12000</v>
      </c>
      <c r="G410" s="298">
        <v>12000</v>
      </c>
      <c r="H410" s="744">
        <f>SUM(G410/F410)</f>
        <v>1</v>
      </c>
      <c r="I410" s="450"/>
    </row>
    <row r="411" spans="1:9" ht="12">
      <c r="A411" s="370"/>
      <c r="B411" s="299" t="s">
        <v>308</v>
      </c>
      <c r="C411" s="767"/>
      <c r="D411" s="767"/>
      <c r="E411" s="767"/>
      <c r="F411" s="767"/>
      <c r="G411" s="767"/>
      <c r="H411" s="422"/>
      <c r="I411" s="450"/>
    </row>
    <row r="412" spans="1:9" ht="12.75" thickBot="1">
      <c r="A412" s="370"/>
      <c r="B412" s="434" t="s">
        <v>93</v>
      </c>
      <c r="C412" s="769"/>
      <c r="D412" s="769"/>
      <c r="E412" s="769"/>
      <c r="F412" s="769"/>
      <c r="G412" s="769"/>
      <c r="H412" s="1182"/>
      <c r="I412" s="468"/>
    </row>
    <row r="413" spans="1:9" ht="12.75" thickBot="1">
      <c r="A413" s="382"/>
      <c r="B413" s="438" t="s">
        <v>142</v>
      </c>
      <c r="C413" s="377">
        <f>SUM(C407:C412)</f>
        <v>12000</v>
      </c>
      <c r="D413" s="377">
        <f>SUM(D407:D412)</f>
        <v>12000</v>
      </c>
      <c r="E413" s="377">
        <f>SUM(E407:E412)</f>
        <v>12000</v>
      </c>
      <c r="F413" s="377">
        <f>SUM(F407:F412)</f>
        <v>12000</v>
      </c>
      <c r="G413" s="377">
        <f>SUM(G407:G412)</f>
        <v>12000</v>
      </c>
      <c r="H413" s="1185">
        <f>SUM(G413/F413)</f>
        <v>1</v>
      </c>
      <c r="I413" s="454"/>
    </row>
    <row r="414" spans="1:9" ht="12">
      <c r="A414" s="383">
        <v>3316</v>
      </c>
      <c r="B414" s="212" t="s">
        <v>144</v>
      </c>
      <c r="C414" s="367"/>
      <c r="D414" s="367"/>
      <c r="E414" s="367"/>
      <c r="F414" s="367"/>
      <c r="G414" s="367"/>
      <c r="H414" s="422"/>
      <c r="I414" s="450"/>
    </row>
    <row r="415" spans="1:9" ht="12">
      <c r="A415" s="370"/>
      <c r="B415" s="371" t="s">
        <v>120</v>
      </c>
      <c r="C415" s="298"/>
      <c r="D415" s="298"/>
      <c r="E415" s="298"/>
      <c r="F415" s="298"/>
      <c r="G415" s="298"/>
      <c r="H415" s="422"/>
      <c r="I415" s="450"/>
    </row>
    <row r="416" spans="1:9" ht="12.75">
      <c r="A416" s="370"/>
      <c r="B416" s="182" t="s">
        <v>314</v>
      </c>
      <c r="C416" s="298"/>
      <c r="D416" s="298"/>
      <c r="E416" s="298"/>
      <c r="F416" s="298"/>
      <c r="G416" s="298"/>
      <c r="H416" s="422"/>
      <c r="I416" s="490"/>
    </row>
    <row r="417" spans="1:9" ht="12">
      <c r="A417" s="370"/>
      <c r="B417" s="372" t="s">
        <v>299</v>
      </c>
      <c r="C417" s="298"/>
      <c r="D417" s="298"/>
      <c r="E417" s="298"/>
      <c r="F417" s="298"/>
      <c r="G417" s="298"/>
      <c r="H417" s="422"/>
      <c r="I417" s="579"/>
    </row>
    <row r="418" spans="1:9" ht="12">
      <c r="A418" s="370"/>
      <c r="B418" s="299" t="s">
        <v>125</v>
      </c>
      <c r="C418" s="298">
        <v>6000</v>
      </c>
      <c r="D418" s="298">
        <v>6000</v>
      </c>
      <c r="E418" s="298">
        <v>6000</v>
      </c>
      <c r="F418" s="298">
        <v>6000</v>
      </c>
      <c r="G418" s="298">
        <v>6000</v>
      </c>
      <c r="H418" s="744">
        <f>SUM(G418/F418)</f>
        <v>1</v>
      </c>
      <c r="I418" s="450"/>
    </row>
    <row r="419" spans="1:9" ht="12">
      <c r="A419" s="370"/>
      <c r="B419" s="299" t="s">
        <v>308</v>
      </c>
      <c r="C419" s="767"/>
      <c r="D419" s="767"/>
      <c r="E419" s="767"/>
      <c r="F419" s="767"/>
      <c r="G419" s="767"/>
      <c r="H419" s="422"/>
      <c r="I419" s="450"/>
    </row>
    <row r="420" spans="1:9" ht="12.75" thickBot="1">
      <c r="A420" s="370"/>
      <c r="B420" s="434" t="s">
        <v>93</v>
      </c>
      <c r="C420" s="769"/>
      <c r="D420" s="769"/>
      <c r="E420" s="769"/>
      <c r="F420" s="769"/>
      <c r="G420" s="769"/>
      <c r="H420" s="1182"/>
      <c r="I420" s="468"/>
    </row>
    <row r="421" spans="1:9" ht="12.75" thickBot="1">
      <c r="A421" s="382"/>
      <c r="B421" s="438" t="s">
        <v>142</v>
      </c>
      <c r="C421" s="377">
        <f>SUM(C415:C420)</f>
        <v>6000</v>
      </c>
      <c r="D421" s="377">
        <f>SUM(D415:D420)</f>
        <v>6000</v>
      </c>
      <c r="E421" s="377">
        <f>SUM(E415:E420)</f>
        <v>6000</v>
      </c>
      <c r="F421" s="377">
        <f>SUM(F415:F420)</f>
        <v>6000</v>
      </c>
      <c r="G421" s="377">
        <f>SUM(G415:G420)</f>
        <v>6000</v>
      </c>
      <c r="H421" s="1185">
        <f>SUM(G421/F421)</f>
        <v>1</v>
      </c>
      <c r="I421" s="454"/>
    </row>
    <row r="422" spans="1:9" ht="12">
      <c r="A422" s="383">
        <v>3317</v>
      </c>
      <c r="B422" s="212" t="s">
        <v>406</v>
      </c>
      <c r="C422" s="367"/>
      <c r="D422" s="367"/>
      <c r="E422" s="367"/>
      <c r="F422" s="367"/>
      <c r="G422" s="367"/>
      <c r="H422" s="422"/>
      <c r="I422" s="450"/>
    </row>
    <row r="423" spans="1:9" ht="12">
      <c r="A423" s="370"/>
      <c r="B423" s="371" t="s">
        <v>120</v>
      </c>
      <c r="C423" s="298"/>
      <c r="D423" s="298"/>
      <c r="E423" s="298"/>
      <c r="F423" s="298"/>
      <c r="G423" s="298"/>
      <c r="H423" s="422"/>
      <c r="I423" s="450"/>
    </row>
    <row r="424" spans="1:9" ht="12.75">
      <c r="A424" s="370"/>
      <c r="B424" s="182" t="s">
        <v>314</v>
      </c>
      <c r="C424" s="298"/>
      <c r="D424" s="298"/>
      <c r="E424" s="298"/>
      <c r="F424" s="298"/>
      <c r="G424" s="298"/>
      <c r="H424" s="422"/>
      <c r="I424" s="490"/>
    </row>
    <row r="425" spans="1:9" ht="12">
      <c r="A425" s="370"/>
      <c r="B425" s="372" t="s">
        <v>299</v>
      </c>
      <c r="C425" s="298">
        <v>2200</v>
      </c>
      <c r="D425" s="298">
        <v>2200</v>
      </c>
      <c r="E425" s="298">
        <v>2200</v>
      </c>
      <c r="F425" s="298">
        <v>2200</v>
      </c>
      <c r="G425" s="298">
        <v>2200</v>
      </c>
      <c r="H425" s="744">
        <f>SUM(G425/F425)</f>
        <v>1</v>
      </c>
      <c r="I425" s="579"/>
    </row>
    <row r="426" spans="1:9" ht="12">
      <c r="A426" s="370"/>
      <c r="B426" s="299" t="s">
        <v>125</v>
      </c>
      <c r="C426" s="298">
        <v>87800</v>
      </c>
      <c r="D426" s="298">
        <v>87959</v>
      </c>
      <c r="E426" s="298">
        <v>87959</v>
      </c>
      <c r="F426" s="298">
        <v>87959</v>
      </c>
      <c r="G426" s="298">
        <v>87959</v>
      </c>
      <c r="H426" s="744">
        <f>SUM(G426/F426)</f>
        <v>1</v>
      </c>
      <c r="I426" s="450"/>
    </row>
    <row r="427" spans="1:9" ht="12">
      <c r="A427" s="370"/>
      <c r="B427" s="299" t="s">
        <v>308</v>
      </c>
      <c r="C427" s="767"/>
      <c r="D427" s="767"/>
      <c r="E427" s="767"/>
      <c r="F427" s="767"/>
      <c r="G427" s="767"/>
      <c r="H427" s="422"/>
      <c r="I427" s="450"/>
    </row>
    <row r="428" spans="1:9" ht="12.75" thickBot="1">
      <c r="A428" s="370"/>
      <c r="B428" s="434" t="s">
        <v>93</v>
      </c>
      <c r="C428" s="769"/>
      <c r="D428" s="769"/>
      <c r="E428" s="769"/>
      <c r="F428" s="769"/>
      <c r="G428" s="769"/>
      <c r="H428" s="1182"/>
      <c r="I428" s="468"/>
    </row>
    <row r="429" spans="1:9" ht="12.75" thickBot="1">
      <c r="A429" s="382"/>
      <c r="B429" s="438" t="s">
        <v>142</v>
      </c>
      <c r="C429" s="377">
        <f>SUM(C423:C428)</f>
        <v>90000</v>
      </c>
      <c r="D429" s="377">
        <f>SUM(D423:D428)</f>
        <v>90159</v>
      </c>
      <c r="E429" s="377">
        <f>SUM(E423:E428)</f>
        <v>90159</v>
      </c>
      <c r="F429" s="377">
        <f>SUM(F423:F428)</f>
        <v>90159</v>
      </c>
      <c r="G429" s="377">
        <f>SUM(G423:G428)</f>
        <v>90159</v>
      </c>
      <c r="H429" s="1185">
        <f>SUM(G429/F429)</f>
        <v>1</v>
      </c>
      <c r="I429" s="454"/>
    </row>
    <row r="430" spans="1:9" ht="12.75" customHeight="1">
      <c r="A430" s="74">
        <v>3319</v>
      </c>
      <c r="B430" s="461" t="s">
        <v>17</v>
      </c>
      <c r="C430" s="367"/>
      <c r="D430" s="367"/>
      <c r="E430" s="367"/>
      <c r="F430" s="367"/>
      <c r="G430" s="367"/>
      <c r="H430" s="422"/>
      <c r="I430" s="450"/>
    </row>
    <row r="431" spans="1:9" ht="12" customHeight="1">
      <c r="A431" s="370"/>
      <c r="B431" s="371" t="s">
        <v>120</v>
      </c>
      <c r="C431" s="298"/>
      <c r="D431" s="298"/>
      <c r="E431" s="298"/>
      <c r="F431" s="298"/>
      <c r="G431" s="298"/>
      <c r="H431" s="422"/>
      <c r="I431" s="450"/>
    </row>
    <row r="432" spans="1:9" ht="12" customHeight="1">
      <c r="A432" s="370"/>
      <c r="B432" s="182" t="s">
        <v>314</v>
      </c>
      <c r="C432" s="298"/>
      <c r="D432" s="298"/>
      <c r="E432" s="298"/>
      <c r="F432" s="298"/>
      <c r="G432" s="298"/>
      <c r="H432" s="422"/>
      <c r="I432" s="450"/>
    </row>
    <row r="433" spans="1:9" ht="12" customHeight="1">
      <c r="A433" s="370"/>
      <c r="B433" s="372" t="s">
        <v>299</v>
      </c>
      <c r="C433" s="298">
        <v>800</v>
      </c>
      <c r="D433" s="298">
        <v>800</v>
      </c>
      <c r="E433" s="298">
        <v>800</v>
      </c>
      <c r="F433" s="298">
        <v>800</v>
      </c>
      <c r="G433" s="298">
        <v>800</v>
      </c>
      <c r="H433" s="744">
        <f>SUM(G433/F433)</f>
        <v>1</v>
      </c>
      <c r="I433" s="579"/>
    </row>
    <row r="434" spans="1:9" ht="12" customHeight="1">
      <c r="A434" s="370"/>
      <c r="B434" s="299" t="s">
        <v>125</v>
      </c>
      <c r="C434" s="298"/>
      <c r="D434" s="298">
        <v>348</v>
      </c>
      <c r="E434" s="298">
        <v>2913</v>
      </c>
      <c r="F434" s="298">
        <v>2925</v>
      </c>
      <c r="G434" s="1216">
        <v>5764</v>
      </c>
      <c r="H434" s="744">
        <f>SUM(G434/F434)</f>
        <v>1.9705982905982906</v>
      </c>
      <c r="I434" s="583"/>
    </row>
    <row r="435" spans="1:9" ht="12" customHeight="1">
      <c r="A435" s="370"/>
      <c r="B435" s="299" t="s">
        <v>308</v>
      </c>
      <c r="C435" s="767"/>
      <c r="D435" s="767"/>
      <c r="E435" s="767"/>
      <c r="F435" s="767"/>
      <c r="G435" s="767"/>
      <c r="H435" s="422"/>
      <c r="I435" s="578"/>
    </row>
    <row r="436" spans="1:9" ht="12" customHeight="1">
      <c r="A436" s="370"/>
      <c r="B436" s="299" t="s">
        <v>125</v>
      </c>
      <c r="C436" s="298"/>
      <c r="D436" s="298"/>
      <c r="E436" s="298"/>
      <c r="F436" s="298"/>
      <c r="G436" s="298"/>
      <c r="H436" s="422"/>
      <c r="I436" s="579"/>
    </row>
    <row r="437" spans="1:9" ht="12" customHeight="1" thickBot="1">
      <c r="A437" s="370"/>
      <c r="B437" s="434" t="s">
        <v>93</v>
      </c>
      <c r="C437" s="769"/>
      <c r="D437" s="769"/>
      <c r="E437" s="769"/>
      <c r="F437" s="769"/>
      <c r="G437" s="769"/>
      <c r="H437" s="1182"/>
      <c r="I437" s="468"/>
    </row>
    <row r="438" spans="1:9" ht="12" customHeight="1" thickBot="1">
      <c r="A438" s="382"/>
      <c r="B438" s="438" t="s">
        <v>142</v>
      </c>
      <c r="C438" s="377">
        <f>SUM(C431:C437)</f>
        <v>800</v>
      </c>
      <c r="D438" s="377">
        <f>SUM(D431:D437)</f>
        <v>1148</v>
      </c>
      <c r="E438" s="377">
        <f>SUM(E431:E437)</f>
        <v>3713</v>
      </c>
      <c r="F438" s="377">
        <f>SUM(F431:F437)</f>
        <v>3725</v>
      </c>
      <c r="G438" s="377">
        <f>SUM(G431:G437)</f>
        <v>6564</v>
      </c>
      <c r="H438" s="1185">
        <f>SUM(G438/F438)</f>
        <v>1.7621476510067113</v>
      </c>
      <c r="I438" s="454"/>
    </row>
    <row r="439" spans="1:9" ht="12" customHeight="1">
      <c r="A439" s="74">
        <v>3320</v>
      </c>
      <c r="B439" s="212" t="s">
        <v>8</v>
      </c>
      <c r="C439" s="367"/>
      <c r="D439" s="367"/>
      <c r="E439" s="367"/>
      <c r="F439" s="367"/>
      <c r="G439" s="367"/>
      <c r="H439" s="422"/>
      <c r="I439" s="450"/>
    </row>
    <row r="440" spans="1:9" ht="12" customHeight="1">
      <c r="A440" s="370"/>
      <c r="B440" s="371" t="s">
        <v>120</v>
      </c>
      <c r="C440" s="298"/>
      <c r="D440" s="298"/>
      <c r="E440" s="298"/>
      <c r="F440" s="298"/>
      <c r="G440" s="298"/>
      <c r="H440" s="422"/>
      <c r="I440" s="450"/>
    </row>
    <row r="441" spans="1:9" ht="12" customHeight="1">
      <c r="A441" s="370"/>
      <c r="B441" s="182" t="s">
        <v>314</v>
      </c>
      <c r="C441" s="298"/>
      <c r="D441" s="298"/>
      <c r="E441" s="298"/>
      <c r="F441" s="298"/>
      <c r="G441" s="298"/>
      <c r="H441" s="422"/>
      <c r="I441" s="450"/>
    </row>
    <row r="442" spans="1:9" ht="12" customHeight="1">
      <c r="A442" s="370"/>
      <c r="B442" s="372" t="s">
        <v>299</v>
      </c>
      <c r="C442" s="298"/>
      <c r="D442" s="298"/>
      <c r="E442" s="298"/>
      <c r="F442" s="298"/>
      <c r="G442" s="298"/>
      <c r="H442" s="422"/>
      <c r="I442" s="579"/>
    </row>
    <row r="443" spans="1:9" ht="12" customHeight="1">
      <c r="A443" s="370"/>
      <c r="B443" s="299" t="s">
        <v>125</v>
      </c>
      <c r="C443" s="298">
        <v>1000</v>
      </c>
      <c r="D443" s="298">
        <v>1003</v>
      </c>
      <c r="E443" s="298">
        <v>1003</v>
      </c>
      <c r="F443" s="298">
        <v>1003</v>
      </c>
      <c r="G443" s="298">
        <v>1003</v>
      </c>
      <c r="H443" s="744">
        <f>SUM(G443/F443)</f>
        <v>1</v>
      </c>
      <c r="I443" s="584"/>
    </row>
    <row r="444" spans="1:9" ht="12" customHeight="1">
      <c r="A444" s="370"/>
      <c r="B444" s="299" t="s">
        <v>308</v>
      </c>
      <c r="C444" s="767"/>
      <c r="D444" s="767"/>
      <c r="E444" s="767"/>
      <c r="F444" s="767"/>
      <c r="G444" s="767"/>
      <c r="H444" s="422"/>
      <c r="I444" s="578"/>
    </row>
    <row r="445" spans="1:9" ht="12" customHeight="1">
      <c r="A445" s="370"/>
      <c r="B445" s="299" t="s">
        <v>125</v>
      </c>
      <c r="C445" s="298"/>
      <c r="D445" s="298"/>
      <c r="E445" s="298"/>
      <c r="F445" s="298"/>
      <c r="G445" s="298"/>
      <c r="H445" s="422"/>
      <c r="I445" s="490"/>
    </row>
    <row r="446" spans="1:9" ht="12" customHeight="1" thickBot="1">
      <c r="A446" s="370"/>
      <c r="B446" s="434" t="s">
        <v>93</v>
      </c>
      <c r="C446" s="769"/>
      <c r="D446" s="769"/>
      <c r="E446" s="769"/>
      <c r="F446" s="769"/>
      <c r="G446" s="769"/>
      <c r="H446" s="1182"/>
      <c r="I446" s="468"/>
    </row>
    <row r="447" spans="1:9" ht="12" customHeight="1" thickBot="1">
      <c r="A447" s="382"/>
      <c r="B447" s="438" t="s">
        <v>142</v>
      </c>
      <c r="C447" s="772">
        <f>SUM(C440:C446)</f>
        <v>1000</v>
      </c>
      <c r="D447" s="772">
        <f>SUM(D440:D446)</f>
        <v>1003</v>
      </c>
      <c r="E447" s="772">
        <f>SUM(E440:E446)</f>
        <v>1003</v>
      </c>
      <c r="F447" s="772">
        <f>SUM(F440:F446)</f>
        <v>1003</v>
      </c>
      <c r="G447" s="772">
        <f>SUM(G440:G446)</f>
        <v>1003</v>
      </c>
      <c r="H447" s="1185">
        <f>SUM(G447/F447)</f>
        <v>1</v>
      </c>
      <c r="I447" s="454"/>
    </row>
    <row r="448" spans="1:9" ht="12" customHeight="1">
      <c r="A448" s="74">
        <v>3322</v>
      </c>
      <c r="B448" s="212" t="s">
        <v>421</v>
      </c>
      <c r="C448" s="367"/>
      <c r="D448" s="367"/>
      <c r="E448" s="367"/>
      <c r="F448" s="367"/>
      <c r="G448" s="367"/>
      <c r="H448" s="422"/>
      <c r="I448" s="450"/>
    </row>
    <row r="449" spans="1:9" ht="12" customHeight="1">
      <c r="A449" s="370"/>
      <c r="B449" s="371" t="s">
        <v>120</v>
      </c>
      <c r="C449" s="298"/>
      <c r="D449" s="298"/>
      <c r="E449" s="298"/>
      <c r="F449" s="298"/>
      <c r="G449" s="298"/>
      <c r="H449" s="422"/>
      <c r="I449" s="450"/>
    </row>
    <row r="450" spans="1:9" ht="12" customHeight="1">
      <c r="A450" s="370"/>
      <c r="B450" s="182" t="s">
        <v>314</v>
      </c>
      <c r="C450" s="298"/>
      <c r="D450" s="298"/>
      <c r="E450" s="298"/>
      <c r="F450" s="298"/>
      <c r="G450" s="298"/>
      <c r="H450" s="422"/>
      <c r="I450" s="579"/>
    </row>
    <row r="451" spans="1:9" ht="12" customHeight="1">
      <c r="A451" s="370"/>
      <c r="B451" s="372" t="s">
        <v>299</v>
      </c>
      <c r="C451" s="298">
        <v>300</v>
      </c>
      <c r="D451" s="298">
        <v>300</v>
      </c>
      <c r="E451" s="298">
        <v>300</v>
      </c>
      <c r="F451" s="298">
        <v>300</v>
      </c>
      <c r="G451" s="1216">
        <v>362</v>
      </c>
      <c r="H451" s="744">
        <f>SUM(G451/F451)</f>
        <v>1.2066666666666668</v>
      </c>
      <c r="I451" s="450"/>
    </row>
    <row r="452" spans="1:9" ht="12" customHeight="1">
      <c r="A452" s="370"/>
      <c r="B452" s="299" t="s">
        <v>125</v>
      </c>
      <c r="C452" s="298">
        <v>9200</v>
      </c>
      <c r="D452" s="298">
        <v>9242</v>
      </c>
      <c r="E452" s="298">
        <v>9242</v>
      </c>
      <c r="F452" s="298">
        <v>9242</v>
      </c>
      <c r="G452" s="1216">
        <v>9180</v>
      </c>
      <c r="H452" s="744">
        <f>SUM(G452/F452)</f>
        <v>0.9932914953473274</v>
      </c>
      <c r="I452" s="496"/>
    </row>
    <row r="453" spans="1:9" ht="12" customHeight="1">
      <c r="A453" s="370"/>
      <c r="B453" s="299" t="s">
        <v>308</v>
      </c>
      <c r="C453" s="767"/>
      <c r="D453" s="767"/>
      <c r="E453" s="767"/>
      <c r="F453" s="767"/>
      <c r="G453" s="767"/>
      <c r="H453" s="422"/>
      <c r="I453" s="490"/>
    </row>
    <row r="454" spans="1:9" ht="12" customHeight="1" thickBot="1">
      <c r="A454" s="370"/>
      <c r="B454" s="434" t="s">
        <v>93</v>
      </c>
      <c r="C454" s="769"/>
      <c r="D454" s="769"/>
      <c r="E454" s="769"/>
      <c r="F454" s="769"/>
      <c r="G454" s="769"/>
      <c r="H454" s="1182"/>
      <c r="I454" s="497"/>
    </row>
    <row r="455" spans="1:9" ht="12" customHeight="1" thickBot="1">
      <c r="A455" s="382"/>
      <c r="B455" s="438" t="s">
        <v>142</v>
      </c>
      <c r="C455" s="772">
        <f>SUM(C449:C454)</f>
        <v>9500</v>
      </c>
      <c r="D455" s="772">
        <f>SUM(D449:D454)</f>
        <v>9542</v>
      </c>
      <c r="E455" s="772">
        <f>SUM(E449:E454)</f>
        <v>9542</v>
      </c>
      <c r="F455" s="772">
        <f>SUM(F449:F454)</f>
        <v>9542</v>
      </c>
      <c r="G455" s="772">
        <f>SUM(G449:G454)</f>
        <v>9542</v>
      </c>
      <c r="H455" s="1185">
        <f>SUM(G455/F455)</f>
        <v>1</v>
      </c>
      <c r="I455" s="454"/>
    </row>
    <row r="456" spans="1:9" ht="12" customHeight="1">
      <c r="A456" s="74">
        <v>3323</v>
      </c>
      <c r="B456" s="212" t="s">
        <v>378</v>
      </c>
      <c r="C456" s="367"/>
      <c r="D456" s="367"/>
      <c r="E456" s="367"/>
      <c r="F456" s="367"/>
      <c r="G456" s="367"/>
      <c r="H456" s="422"/>
      <c r="I456" s="450"/>
    </row>
    <row r="457" spans="1:9" ht="12" customHeight="1">
      <c r="A457" s="370"/>
      <c r="B457" s="371" t="s">
        <v>120</v>
      </c>
      <c r="C457" s="298"/>
      <c r="D457" s="298"/>
      <c r="E457" s="298"/>
      <c r="F457" s="298"/>
      <c r="G457" s="298"/>
      <c r="H457" s="422"/>
      <c r="I457" s="450"/>
    </row>
    <row r="458" spans="1:9" ht="12" customHeight="1">
      <c r="A458" s="370"/>
      <c r="B458" s="182" t="s">
        <v>314</v>
      </c>
      <c r="C458" s="298"/>
      <c r="D458" s="298"/>
      <c r="E458" s="298"/>
      <c r="F458" s="298"/>
      <c r="G458" s="298"/>
      <c r="H458" s="422"/>
      <c r="I458" s="490"/>
    </row>
    <row r="459" spans="1:9" ht="12" customHeight="1">
      <c r="A459" s="370"/>
      <c r="B459" s="372" t="s">
        <v>299</v>
      </c>
      <c r="C459" s="298">
        <v>50</v>
      </c>
      <c r="D459" s="298">
        <v>50</v>
      </c>
      <c r="E459" s="298">
        <v>50</v>
      </c>
      <c r="F459" s="298">
        <v>50</v>
      </c>
      <c r="G459" s="298">
        <v>50</v>
      </c>
      <c r="H459" s="744">
        <f>SUM(G459/F459)</f>
        <v>1</v>
      </c>
      <c r="I459" s="579"/>
    </row>
    <row r="460" spans="1:9" ht="12" customHeight="1">
      <c r="A460" s="370"/>
      <c r="B460" s="299" t="s">
        <v>125</v>
      </c>
      <c r="C460" s="298">
        <v>7450</v>
      </c>
      <c r="D460" s="298">
        <v>7450</v>
      </c>
      <c r="E460" s="298">
        <v>7450</v>
      </c>
      <c r="F460" s="298">
        <v>7450</v>
      </c>
      <c r="G460" s="298">
        <v>7450</v>
      </c>
      <c r="H460" s="744">
        <f>SUM(G460/F460)</f>
        <v>1</v>
      </c>
      <c r="I460" s="496"/>
    </row>
    <row r="461" spans="1:9" ht="12" customHeight="1">
      <c r="A461" s="370"/>
      <c r="B461" s="299" t="s">
        <v>308</v>
      </c>
      <c r="C461" s="767"/>
      <c r="D461" s="767"/>
      <c r="E461" s="767"/>
      <c r="F461" s="767"/>
      <c r="G461" s="767"/>
      <c r="H461" s="422"/>
      <c r="I461" s="490"/>
    </row>
    <row r="462" spans="1:9" ht="12" customHeight="1" thickBot="1">
      <c r="A462" s="370"/>
      <c r="B462" s="434" t="s">
        <v>93</v>
      </c>
      <c r="C462" s="769"/>
      <c r="D462" s="769"/>
      <c r="E462" s="769"/>
      <c r="F462" s="769"/>
      <c r="G462" s="769"/>
      <c r="H462" s="1182"/>
      <c r="I462" s="497"/>
    </row>
    <row r="463" spans="1:9" ht="12" customHeight="1" thickBot="1">
      <c r="A463" s="382"/>
      <c r="B463" s="438" t="s">
        <v>142</v>
      </c>
      <c r="C463" s="377">
        <f>SUM(C457:C462)</f>
        <v>7500</v>
      </c>
      <c r="D463" s="377">
        <f>SUM(D457:D462)</f>
        <v>7500</v>
      </c>
      <c r="E463" s="377">
        <f>SUM(E457:E462)</f>
        <v>7500</v>
      </c>
      <c r="F463" s="377">
        <f>SUM(F457:F462)</f>
        <v>7500</v>
      </c>
      <c r="G463" s="377">
        <f>SUM(G457:G462)</f>
        <v>7500</v>
      </c>
      <c r="H463" s="1185">
        <f>SUM(G463/F463)</f>
        <v>1</v>
      </c>
      <c r="I463" s="454"/>
    </row>
    <row r="464" spans="1:9" ht="12" customHeight="1">
      <c r="A464" s="74">
        <v>3324</v>
      </c>
      <c r="B464" s="212" t="s">
        <v>482</v>
      </c>
      <c r="C464" s="367"/>
      <c r="D464" s="367"/>
      <c r="E464" s="367"/>
      <c r="F464" s="367"/>
      <c r="G464" s="367"/>
      <c r="H464" s="422"/>
      <c r="I464" s="450"/>
    </row>
    <row r="465" spans="1:9" ht="12" customHeight="1">
      <c r="A465" s="370"/>
      <c r="B465" s="371" t="s">
        <v>120</v>
      </c>
      <c r="C465" s="298"/>
      <c r="D465" s="298"/>
      <c r="E465" s="298"/>
      <c r="F465" s="298"/>
      <c r="G465" s="298"/>
      <c r="H465" s="422"/>
      <c r="I465" s="450"/>
    </row>
    <row r="466" spans="1:9" ht="12" customHeight="1">
      <c r="A466" s="370"/>
      <c r="B466" s="182" t="s">
        <v>314</v>
      </c>
      <c r="C466" s="298"/>
      <c r="D466" s="298"/>
      <c r="E466" s="298"/>
      <c r="F466" s="298"/>
      <c r="G466" s="298"/>
      <c r="H466" s="422"/>
      <c r="I466" s="490"/>
    </row>
    <row r="467" spans="1:9" ht="12" customHeight="1">
      <c r="A467" s="370"/>
      <c r="B467" s="372" t="s">
        <v>299</v>
      </c>
      <c r="C467" s="298">
        <v>2000</v>
      </c>
      <c r="D467" s="298">
        <v>2000</v>
      </c>
      <c r="E467" s="298">
        <v>2000</v>
      </c>
      <c r="F467" s="298">
        <v>2000</v>
      </c>
      <c r="G467" s="298">
        <v>2000</v>
      </c>
      <c r="H467" s="744">
        <f>SUM(G467/F467)</f>
        <v>1</v>
      </c>
      <c r="I467" s="579"/>
    </row>
    <row r="468" spans="1:9" ht="12" customHeight="1">
      <c r="A468" s="370"/>
      <c r="B468" s="299" t="s">
        <v>125</v>
      </c>
      <c r="C468" s="298"/>
      <c r="D468" s="298"/>
      <c r="E468" s="298"/>
      <c r="F468" s="298"/>
      <c r="G468" s="298"/>
      <c r="H468" s="422"/>
      <c r="I468" s="496"/>
    </row>
    <row r="469" spans="1:9" ht="12" customHeight="1">
      <c r="A469" s="370"/>
      <c r="B469" s="299" t="s">
        <v>308</v>
      </c>
      <c r="C469" s="767"/>
      <c r="D469" s="767"/>
      <c r="E469" s="767"/>
      <c r="F469" s="767"/>
      <c r="G469" s="767"/>
      <c r="H469" s="422"/>
      <c r="I469" s="490"/>
    </row>
    <row r="470" spans="1:9" ht="12" customHeight="1" thickBot="1">
      <c r="A470" s="370"/>
      <c r="B470" s="434" t="s">
        <v>93</v>
      </c>
      <c r="C470" s="769"/>
      <c r="D470" s="769"/>
      <c r="E470" s="769"/>
      <c r="F470" s="769"/>
      <c r="G470" s="769"/>
      <c r="H470" s="1182"/>
      <c r="I470" s="497"/>
    </row>
    <row r="471" spans="1:9" ht="12" customHeight="1" thickBot="1">
      <c r="A471" s="382"/>
      <c r="B471" s="438" t="s">
        <v>142</v>
      </c>
      <c r="C471" s="377">
        <f>SUM(C465:C470)</f>
        <v>2000</v>
      </c>
      <c r="D471" s="377">
        <f>SUM(D465:D470)</f>
        <v>2000</v>
      </c>
      <c r="E471" s="377">
        <f>SUM(E465:E470)</f>
        <v>2000</v>
      </c>
      <c r="F471" s="377">
        <f>SUM(F465:F470)</f>
        <v>2000</v>
      </c>
      <c r="G471" s="377">
        <f>SUM(G465:G470)</f>
        <v>2000</v>
      </c>
      <c r="H471" s="1185">
        <f>SUM(G471/F471)</f>
        <v>1</v>
      </c>
      <c r="I471" s="454"/>
    </row>
    <row r="472" spans="1:9" ht="12" customHeight="1">
      <c r="A472" s="498">
        <v>3340</v>
      </c>
      <c r="B472" s="462" t="s">
        <v>518</v>
      </c>
      <c r="C472" s="367"/>
      <c r="D472" s="367"/>
      <c r="E472" s="367"/>
      <c r="F472" s="367"/>
      <c r="G472" s="367"/>
      <c r="H472" s="422"/>
      <c r="I472" s="450"/>
    </row>
    <row r="473" spans="1:9" ht="12" customHeight="1">
      <c r="A473" s="74"/>
      <c r="B473" s="371" t="s">
        <v>120</v>
      </c>
      <c r="C473" s="367"/>
      <c r="D473" s="367"/>
      <c r="E473" s="367"/>
      <c r="F473" s="367"/>
      <c r="G473" s="367"/>
      <c r="H473" s="422"/>
      <c r="I473" s="450"/>
    </row>
    <row r="474" spans="1:9" ht="12" customHeight="1">
      <c r="A474" s="74"/>
      <c r="B474" s="182" t="s">
        <v>314</v>
      </c>
      <c r="C474" s="367"/>
      <c r="D474" s="367"/>
      <c r="E474" s="367"/>
      <c r="F474" s="367"/>
      <c r="G474" s="367"/>
      <c r="H474" s="422"/>
      <c r="I474" s="579"/>
    </row>
    <row r="475" spans="1:9" ht="12" customHeight="1">
      <c r="A475" s="359"/>
      <c r="B475" s="372" t="s">
        <v>299</v>
      </c>
      <c r="C475" s="767">
        <v>7000</v>
      </c>
      <c r="D475" s="767">
        <v>11359</v>
      </c>
      <c r="E475" s="767">
        <v>9859</v>
      </c>
      <c r="F475" s="767">
        <v>9859</v>
      </c>
      <c r="G475" s="767">
        <v>9859</v>
      </c>
      <c r="H475" s="744">
        <f>SUM(G475/F475)</f>
        <v>1</v>
      </c>
      <c r="I475" s="633"/>
    </row>
    <row r="476" spans="1:9" ht="12" customHeight="1">
      <c r="A476" s="359"/>
      <c r="B476" s="299" t="s">
        <v>125</v>
      </c>
      <c r="C476" s="767"/>
      <c r="D476" s="767"/>
      <c r="E476" s="767"/>
      <c r="F476" s="767"/>
      <c r="G476" s="767"/>
      <c r="H476" s="422"/>
      <c r="I476" s="495"/>
    </row>
    <row r="477" spans="1:9" ht="12" customHeight="1">
      <c r="A477" s="74"/>
      <c r="B477" s="299" t="s">
        <v>308</v>
      </c>
      <c r="C477" s="767"/>
      <c r="D477" s="767"/>
      <c r="E477" s="767"/>
      <c r="F477" s="767"/>
      <c r="G477" s="767"/>
      <c r="H477" s="422"/>
      <c r="I477" s="450"/>
    </row>
    <row r="478" spans="1:9" ht="12" customHeight="1" thickBot="1">
      <c r="A478" s="74"/>
      <c r="B478" s="434" t="s">
        <v>93</v>
      </c>
      <c r="C478" s="768"/>
      <c r="D478" s="768"/>
      <c r="E478" s="768"/>
      <c r="F478" s="768"/>
      <c r="G478" s="768"/>
      <c r="H478" s="1182"/>
      <c r="I478" s="468"/>
    </row>
    <row r="479" spans="1:9" ht="12" customHeight="1" thickBot="1">
      <c r="A479" s="361"/>
      <c r="B479" s="438" t="s">
        <v>142</v>
      </c>
      <c r="C479" s="377">
        <f>SUM(C473:C478)</f>
        <v>7000</v>
      </c>
      <c r="D479" s="377">
        <f>SUM(D473:D478)</f>
        <v>11359</v>
      </c>
      <c r="E479" s="377">
        <f>SUM(E473:E478)</f>
        <v>9859</v>
      </c>
      <c r="F479" s="377">
        <f>SUM(F473:F478)</f>
        <v>9859</v>
      </c>
      <c r="G479" s="377">
        <f>SUM(G473:G478)</f>
        <v>9859</v>
      </c>
      <c r="H479" s="1185">
        <f>SUM(G479/F479)</f>
        <v>1</v>
      </c>
      <c r="I479" s="454"/>
    </row>
    <row r="480" spans="1:9" ht="12" customHeight="1">
      <c r="A480" s="498">
        <v>3341</v>
      </c>
      <c r="B480" s="462" t="s">
        <v>409</v>
      </c>
      <c r="C480" s="367"/>
      <c r="D480" s="367"/>
      <c r="E480" s="367"/>
      <c r="F480" s="367"/>
      <c r="G480" s="367"/>
      <c r="H480" s="422"/>
      <c r="I480" s="450"/>
    </row>
    <row r="481" spans="1:9" ht="12" customHeight="1">
      <c r="A481" s="74"/>
      <c r="B481" s="371" t="s">
        <v>120</v>
      </c>
      <c r="C481" s="367"/>
      <c r="D481" s="367"/>
      <c r="E481" s="367"/>
      <c r="F481" s="367"/>
      <c r="G481" s="367"/>
      <c r="H481" s="422"/>
      <c r="I481" s="450"/>
    </row>
    <row r="482" spans="1:9" ht="12" customHeight="1">
      <c r="A482" s="74"/>
      <c r="B482" s="182" t="s">
        <v>314</v>
      </c>
      <c r="C482" s="367"/>
      <c r="D482" s="367"/>
      <c r="E482" s="367"/>
      <c r="F482" s="367"/>
      <c r="G482" s="367"/>
      <c r="H482" s="422"/>
      <c r="I482" s="579"/>
    </row>
    <row r="483" spans="1:9" ht="12" customHeight="1">
      <c r="A483" s="359"/>
      <c r="B483" s="372" t="s">
        <v>299</v>
      </c>
      <c r="C483" s="767">
        <v>1736</v>
      </c>
      <c r="D483" s="767">
        <v>1736</v>
      </c>
      <c r="E483" s="767">
        <v>1736</v>
      </c>
      <c r="F483" s="767">
        <v>1736</v>
      </c>
      <c r="G483" s="767">
        <v>1736</v>
      </c>
      <c r="H483" s="744">
        <f>SUM(G483/F483)</f>
        <v>1</v>
      </c>
      <c r="I483" s="583"/>
    </row>
    <row r="484" spans="1:9" ht="12" customHeight="1">
      <c r="A484" s="359"/>
      <c r="B484" s="299" t="s">
        <v>125</v>
      </c>
      <c r="C484" s="767"/>
      <c r="D484" s="767"/>
      <c r="E484" s="767"/>
      <c r="F484" s="767"/>
      <c r="G484" s="767"/>
      <c r="H484" s="422"/>
      <c r="I484" s="495"/>
    </row>
    <row r="485" spans="1:9" ht="12" customHeight="1">
      <c r="A485" s="74"/>
      <c r="B485" s="299" t="s">
        <v>308</v>
      </c>
      <c r="C485" s="367"/>
      <c r="D485" s="367"/>
      <c r="E485" s="367"/>
      <c r="F485" s="367"/>
      <c r="G485" s="367"/>
      <c r="H485" s="422"/>
      <c r="I485" s="450"/>
    </row>
    <row r="486" spans="1:9" ht="12" customHeight="1" thickBot="1">
      <c r="A486" s="74"/>
      <c r="B486" s="434" t="s">
        <v>93</v>
      </c>
      <c r="C486" s="768"/>
      <c r="D486" s="768"/>
      <c r="E486" s="768"/>
      <c r="F486" s="768"/>
      <c r="G486" s="768"/>
      <c r="H486" s="1182"/>
      <c r="I486" s="468"/>
    </row>
    <row r="487" spans="1:9" ht="12" customHeight="1" thickBot="1">
      <c r="A487" s="361"/>
      <c r="B487" s="438" t="s">
        <v>142</v>
      </c>
      <c r="C487" s="377">
        <f>SUM(C481:C486)</f>
        <v>1736</v>
      </c>
      <c r="D487" s="377">
        <f>SUM(D481:D486)</f>
        <v>1736</v>
      </c>
      <c r="E487" s="377">
        <f>SUM(E481:E486)</f>
        <v>1736</v>
      </c>
      <c r="F487" s="377">
        <f>SUM(F481:F486)</f>
        <v>1736</v>
      </c>
      <c r="G487" s="377">
        <f>SUM(G481:G486)</f>
        <v>1736</v>
      </c>
      <c r="H487" s="1185">
        <f>SUM(G487/F487)</f>
        <v>1</v>
      </c>
      <c r="I487" s="454"/>
    </row>
    <row r="488" spans="1:9" ht="12" customHeight="1">
      <c r="A488" s="498">
        <v>3342</v>
      </c>
      <c r="B488" s="462" t="s">
        <v>503</v>
      </c>
      <c r="C488" s="367"/>
      <c r="D488" s="367"/>
      <c r="E488" s="367"/>
      <c r="F488" s="367"/>
      <c r="G488" s="367"/>
      <c r="H488" s="422"/>
      <c r="I488" s="450"/>
    </row>
    <row r="489" spans="1:9" ht="12" customHeight="1">
      <c r="A489" s="74"/>
      <c r="B489" s="371" t="s">
        <v>120</v>
      </c>
      <c r="C489" s="367"/>
      <c r="D489" s="367"/>
      <c r="E489" s="367"/>
      <c r="F489" s="367"/>
      <c r="G489" s="367"/>
      <c r="H489" s="422"/>
      <c r="I489" s="450"/>
    </row>
    <row r="490" spans="1:9" ht="12" customHeight="1">
      <c r="A490" s="74"/>
      <c r="B490" s="182" t="s">
        <v>314</v>
      </c>
      <c r="C490" s="367"/>
      <c r="D490" s="367"/>
      <c r="E490" s="367"/>
      <c r="F490" s="367"/>
      <c r="G490" s="367"/>
      <c r="H490" s="422"/>
      <c r="I490" s="450"/>
    </row>
    <row r="491" spans="1:9" ht="12" customHeight="1">
      <c r="A491" s="359"/>
      <c r="B491" s="372" t="s">
        <v>299</v>
      </c>
      <c r="C491" s="767">
        <v>880</v>
      </c>
      <c r="D491" s="767">
        <v>1320</v>
      </c>
      <c r="E491" s="767">
        <v>1320</v>
      </c>
      <c r="F491" s="767">
        <v>1320</v>
      </c>
      <c r="G491" s="767">
        <v>1320</v>
      </c>
      <c r="H491" s="744">
        <f>SUM(G491/F491)</f>
        <v>1</v>
      </c>
      <c r="I491" s="579"/>
    </row>
    <row r="492" spans="1:9" ht="12" customHeight="1">
      <c r="A492" s="359"/>
      <c r="B492" s="299" t="s">
        <v>125</v>
      </c>
      <c r="C492" s="767"/>
      <c r="D492" s="767"/>
      <c r="E492" s="767"/>
      <c r="F492" s="767"/>
      <c r="G492" s="767"/>
      <c r="H492" s="422"/>
      <c r="I492" s="495"/>
    </row>
    <row r="493" spans="1:9" ht="12" customHeight="1">
      <c r="A493" s="74"/>
      <c r="B493" s="299" t="s">
        <v>308</v>
      </c>
      <c r="C493" s="367"/>
      <c r="D493" s="367"/>
      <c r="E493" s="367"/>
      <c r="F493" s="367"/>
      <c r="G493" s="367"/>
      <c r="H493" s="422"/>
      <c r="I493" s="450"/>
    </row>
    <row r="494" spans="1:9" ht="12" customHeight="1">
      <c r="A494" s="74"/>
      <c r="B494" s="299" t="s">
        <v>125</v>
      </c>
      <c r="C494" s="367"/>
      <c r="D494" s="367"/>
      <c r="E494" s="367"/>
      <c r="F494" s="367"/>
      <c r="G494" s="367"/>
      <c r="H494" s="422"/>
      <c r="I494" s="451"/>
    </row>
    <row r="495" spans="1:9" ht="12" customHeight="1" thickBot="1">
      <c r="A495" s="74"/>
      <c r="B495" s="434" t="s">
        <v>93</v>
      </c>
      <c r="C495" s="768"/>
      <c r="D495" s="768"/>
      <c r="E495" s="768"/>
      <c r="F495" s="768"/>
      <c r="G495" s="768"/>
      <c r="H495" s="1182"/>
      <c r="I495" s="468"/>
    </row>
    <row r="496" spans="1:9" ht="12" customHeight="1" thickBot="1">
      <c r="A496" s="361"/>
      <c r="B496" s="438" t="s">
        <v>142</v>
      </c>
      <c r="C496" s="377">
        <f>SUM(C489:C495)</f>
        <v>880</v>
      </c>
      <c r="D496" s="377">
        <f>SUM(D489:D495)</f>
        <v>1320</v>
      </c>
      <c r="E496" s="377">
        <f>SUM(E489:E495)</f>
        <v>1320</v>
      </c>
      <c r="F496" s="377">
        <f>SUM(F489:F495)</f>
        <v>1320</v>
      </c>
      <c r="G496" s="377">
        <f>SUM(G489:G495)</f>
        <v>1320</v>
      </c>
      <c r="H496" s="1185">
        <f>SUM(G496/F496)</f>
        <v>1</v>
      </c>
      <c r="I496" s="454"/>
    </row>
    <row r="497" spans="1:9" ht="12" customHeight="1">
      <c r="A497" s="498">
        <v>3343</v>
      </c>
      <c r="B497" s="462" t="s">
        <v>162</v>
      </c>
      <c r="C497" s="367"/>
      <c r="D497" s="367"/>
      <c r="E497" s="367"/>
      <c r="F497" s="367"/>
      <c r="G497" s="367"/>
      <c r="H497" s="422"/>
      <c r="I497" s="450"/>
    </row>
    <row r="498" spans="1:9" ht="12" customHeight="1">
      <c r="A498" s="74"/>
      <c r="B498" s="371" t="s">
        <v>120</v>
      </c>
      <c r="C498" s="367"/>
      <c r="D498" s="367"/>
      <c r="E498" s="367"/>
      <c r="F498" s="367"/>
      <c r="G498" s="367"/>
      <c r="H498" s="422"/>
      <c r="I498" s="450"/>
    </row>
    <row r="499" spans="1:9" ht="12" customHeight="1">
      <c r="A499" s="74"/>
      <c r="B499" s="182" t="s">
        <v>314</v>
      </c>
      <c r="C499" s="367"/>
      <c r="D499" s="367"/>
      <c r="E499" s="367"/>
      <c r="F499" s="367"/>
      <c r="G499" s="367"/>
      <c r="H499" s="422"/>
      <c r="I499" s="579"/>
    </row>
    <row r="500" spans="1:9" ht="12" customHeight="1">
      <c r="A500" s="359"/>
      <c r="B500" s="372" t="s">
        <v>299</v>
      </c>
      <c r="C500" s="767">
        <v>1000</v>
      </c>
      <c r="D500" s="767">
        <v>1000</v>
      </c>
      <c r="E500" s="767">
        <v>1000</v>
      </c>
      <c r="F500" s="767">
        <v>1000</v>
      </c>
      <c r="G500" s="767">
        <v>1000</v>
      </c>
      <c r="H500" s="744">
        <f>SUM(G500/F500)</f>
        <v>1</v>
      </c>
      <c r="I500" s="633"/>
    </row>
    <row r="501" spans="1:9" ht="12" customHeight="1">
      <c r="A501" s="359"/>
      <c r="B501" s="299" t="s">
        <v>125</v>
      </c>
      <c r="C501" s="767"/>
      <c r="D501" s="767"/>
      <c r="E501" s="767"/>
      <c r="F501" s="767"/>
      <c r="G501" s="767"/>
      <c r="H501" s="422"/>
      <c r="I501" s="495"/>
    </row>
    <row r="502" spans="1:9" ht="12.75" customHeight="1">
      <c r="A502" s="74"/>
      <c r="B502" s="299" t="s">
        <v>308</v>
      </c>
      <c r="C502" s="367"/>
      <c r="D502" s="367"/>
      <c r="E502" s="367"/>
      <c r="F502" s="367"/>
      <c r="G502" s="367"/>
      <c r="H502" s="422"/>
      <c r="I502" s="450"/>
    </row>
    <row r="503" spans="1:9" ht="12" customHeight="1" thickBot="1">
      <c r="A503" s="74"/>
      <c r="B503" s="434" t="s">
        <v>93</v>
      </c>
      <c r="C503" s="768"/>
      <c r="D503" s="768"/>
      <c r="E503" s="768"/>
      <c r="F503" s="768"/>
      <c r="G503" s="768"/>
      <c r="H503" s="1182"/>
      <c r="I503" s="468"/>
    </row>
    <row r="504" spans="1:9" ht="12" customHeight="1" thickBot="1">
      <c r="A504" s="361"/>
      <c r="B504" s="438" t="s">
        <v>142</v>
      </c>
      <c r="C504" s="377">
        <f>SUM(C498:C503)</f>
        <v>1000</v>
      </c>
      <c r="D504" s="377">
        <f>SUM(D498:D503)</f>
        <v>1000</v>
      </c>
      <c r="E504" s="377">
        <f>SUM(E498:E503)</f>
        <v>1000</v>
      </c>
      <c r="F504" s="377">
        <f>SUM(F498:F503)</f>
        <v>1000</v>
      </c>
      <c r="G504" s="377">
        <f>SUM(G498:G503)</f>
        <v>1000</v>
      </c>
      <c r="H504" s="1185">
        <f>SUM(G504/F504)</f>
        <v>1</v>
      </c>
      <c r="I504" s="454"/>
    </row>
    <row r="505" spans="1:9" ht="12" customHeight="1">
      <c r="A505" s="74">
        <v>3344</v>
      </c>
      <c r="B505" s="369" t="s">
        <v>287</v>
      </c>
      <c r="C505" s="367"/>
      <c r="D505" s="367"/>
      <c r="E505" s="367"/>
      <c r="F505" s="367"/>
      <c r="G505" s="367"/>
      <c r="H505" s="422"/>
      <c r="I505" s="450"/>
    </row>
    <row r="506" spans="1:9" ht="12" customHeight="1">
      <c r="A506" s="74"/>
      <c r="B506" s="73" t="s">
        <v>120</v>
      </c>
      <c r="C506" s="367"/>
      <c r="D506" s="367"/>
      <c r="E506" s="367"/>
      <c r="F506" s="367"/>
      <c r="G506" s="367"/>
      <c r="H506" s="422"/>
      <c r="I506" s="450"/>
    </row>
    <row r="507" spans="1:9" ht="12" customHeight="1">
      <c r="A507" s="74"/>
      <c r="B507" s="182" t="s">
        <v>314</v>
      </c>
      <c r="C507" s="367"/>
      <c r="D507" s="367"/>
      <c r="E507" s="367"/>
      <c r="F507" s="367"/>
      <c r="G507" s="367"/>
      <c r="H507" s="422"/>
      <c r="I507" s="579"/>
    </row>
    <row r="508" spans="1:9" ht="12" customHeight="1">
      <c r="A508" s="74"/>
      <c r="B508" s="73" t="s">
        <v>299</v>
      </c>
      <c r="C508" s="767">
        <v>1027</v>
      </c>
      <c r="D508" s="767">
        <v>1027</v>
      </c>
      <c r="E508" s="767">
        <v>1027</v>
      </c>
      <c r="F508" s="767">
        <v>1027</v>
      </c>
      <c r="G508" s="767">
        <v>1027</v>
      </c>
      <c r="H508" s="744">
        <f>SUM(G508/F508)</f>
        <v>1</v>
      </c>
      <c r="I508" s="583"/>
    </row>
    <row r="509" spans="1:9" ht="12" customHeight="1">
      <c r="A509" s="74"/>
      <c r="B509" s="182" t="s">
        <v>125</v>
      </c>
      <c r="C509" s="767"/>
      <c r="D509" s="767"/>
      <c r="E509" s="767"/>
      <c r="F509" s="767"/>
      <c r="G509" s="767"/>
      <c r="H509" s="422"/>
      <c r="I509" s="495"/>
    </row>
    <row r="510" spans="1:9" ht="12" customHeight="1">
      <c r="A510" s="74"/>
      <c r="B510" s="299" t="s">
        <v>308</v>
      </c>
      <c r="C510" s="367"/>
      <c r="D510" s="367"/>
      <c r="E510" s="367"/>
      <c r="F510" s="367"/>
      <c r="G510" s="367"/>
      <c r="H510" s="422"/>
      <c r="I510" s="450"/>
    </row>
    <row r="511" spans="1:9" ht="12" customHeight="1" thickBot="1">
      <c r="A511" s="74"/>
      <c r="B511" s="434" t="s">
        <v>93</v>
      </c>
      <c r="C511" s="768"/>
      <c r="D511" s="768"/>
      <c r="E511" s="768"/>
      <c r="F511" s="768"/>
      <c r="G511" s="768"/>
      <c r="H511" s="1182"/>
      <c r="I511" s="452"/>
    </row>
    <row r="512" spans="1:9" ht="12" customHeight="1" thickBot="1">
      <c r="A512" s="382"/>
      <c r="B512" s="438" t="s">
        <v>142</v>
      </c>
      <c r="C512" s="772">
        <f>SUM(C506:C511)</f>
        <v>1027</v>
      </c>
      <c r="D512" s="772">
        <f>SUM(D506:D511)</f>
        <v>1027</v>
      </c>
      <c r="E512" s="772">
        <f>SUM(E506:E511)</f>
        <v>1027</v>
      </c>
      <c r="F512" s="772">
        <f>SUM(F506:F511)</f>
        <v>1027</v>
      </c>
      <c r="G512" s="772">
        <f>SUM(G506:G511)</f>
        <v>1027</v>
      </c>
      <c r="H512" s="1185">
        <f>SUM(G512/F512)</f>
        <v>1</v>
      </c>
      <c r="I512" s="468"/>
    </row>
    <row r="513" spans="1:9" ht="12" customHeight="1">
      <c r="A513" s="74">
        <v>3345</v>
      </c>
      <c r="B513" s="381" t="s">
        <v>163</v>
      </c>
      <c r="C513" s="367"/>
      <c r="D513" s="367"/>
      <c r="E513" s="367"/>
      <c r="F513" s="367"/>
      <c r="G513" s="367"/>
      <c r="H513" s="422"/>
      <c r="I513" s="449"/>
    </row>
    <row r="514" spans="1:9" ht="12" customHeight="1">
      <c r="A514" s="74"/>
      <c r="B514" s="371" t="s">
        <v>120</v>
      </c>
      <c r="C514" s="367"/>
      <c r="D514" s="367"/>
      <c r="E514" s="367"/>
      <c r="F514" s="367"/>
      <c r="G514" s="367"/>
      <c r="H514" s="422"/>
      <c r="I514" s="423"/>
    </row>
    <row r="515" spans="1:9" ht="12" customHeight="1">
      <c r="A515" s="74"/>
      <c r="B515" s="182" t="s">
        <v>314</v>
      </c>
      <c r="C515" s="367"/>
      <c r="D515" s="367"/>
      <c r="E515" s="367"/>
      <c r="F515" s="367"/>
      <c r="G515" s="367"/>
      <c r="H515" s="422"/>
      <c r="I515" s="423"/>
    </row>
    <row r="516" spans="1:9" ht="12" customHeight="1">
      <c r="A516" s="74"/>
      <c r="B516" s="372" t="s">
        <v>299</v>
      </c>
      <c r="C516" s="767">
        <v>300</v>
      </c>
      <c r="D516" s="767">
        <v>300</v>
      </c>
      <c r="E516" s="767">
        <v>300</v>
      </c>
      <c r="F516" s="767">
        <v>300</v>
      </c>
      <c r="G516" s="767">
        <v>300</v>
      </c>
      <c r="H516" s="744">
        <f>SUM(G516/F516)</f>
        <v>1</v>
      </c>
      <c r="I516" s="579"/>
    </row>
    <row r="517" spans="1:9" ht="12" customHeight="1">
      <c r="A517" s="74"/>
      <c r="B517" s="299" t="s">
        <v>125</v>
      </c>
      <c r="C517" s="767"/>
      <c r="D517" s="767"/>
      <c r="E517" s="767"/>
      <c r="F517" s="767"/>
      <c r="G517" s="767"/>
      <c r="H517" s="422"/>
      <c r="I517" s="490"/>
    </row>
    <row r="518" spans="1:9" ht="12" customHeight="1">
      <c r="A518" s="74"/>
      <c r="B518" s="299" t="s">
        <v>308</v>
      </c>
      <c r="C518" s="367"/>
      <c r="D518" s="367"/>
      <c r="E518" s="367"/>
      <c r="F518" s="367"/>
      <c r="G518" s="367"/>
      <c r="H518" s="422"/>
      <c r="I518" s="423"/>
    </row>
    <row r="519" spans="1:9" ht="12" customHeight="1" thickBot="1">
      <c r="A519" s="74"/>
      <c r="B519" s="434" t="s">
        <v>93</v>
      </c>
      <c r="C519" s="768"/>
      <c r="D519" s="768"/>
      <c r="E519" s="768"/>
      <c r="F519" s="768"/>
      <c r="G519" s="768"/>
      <c r="H519" s="1182"/>
      <c r="I519" s="468"/>
    </row>
    <row r="520" spans="1:9" ht="13.5" customHeight="1" thickBot="1">
      <c r="A520" s="382"/>
      <c r="B520" s="438" t="s">
        <v>142</v>
      </c>
      <c r="C520" s="772">
        <f>SUM(C516:C519)</f>
        <v>300</v>
      </c>
      <c r="D520" s="772">
        <f>SUM(D516:D519)</f>
        <v>300</v>
      </c>
      <c r="E520" s="772">
        <f>SUM(E516:E519)</f>
        <v>300</v>
      </c>
      <c r="F520" s="772">
        <f>SUM(F516:F519)</f>
        <v>300</v>
      </c>
      <c r="G520" s="772">
        <f>SUM(G516:G519)</f>
        <v>300</v>
      </c>
      <c r="H520" s="1185">
        <f>SUM(G520/F520)</f>
        <v>1</v>
      </c>
      <c r="I520" s="454"/>
    </row>
    <row r="521" spans="1:9" ht="12" customHeight="1">
      <c r="A521" s="74">
        <v>3346</v>
      </c>
      <c r="B521" s="461" t="s">
        <v>122</v>
      </c>
      <c r="C521" s="367"/>
      <c r="D521" s="367"/>
      <c r="E521" s="367"/>
      <c r="F521" s="367"/>
      <c r="G521" s="367"/>
      <c r="H521" s="422"/>
      <c r="I521" s="450"/>
    </row>
    <row r="522" spans="1:9" ht="12" customHeight="1">
      <c r="A522" s="370"/>
      <c r="B522" s="371" t="s">
        <v>120</v>
      </c>
      <c r="C522" s="367"/>
      <c r="D522" s="367"/>
      <c r="E522" s="367"/>
      <c r="F522" s="367"/>
      <c r="G522" s="367"/>
      <c r="H522" s="422"/>
      <c r="I522" s="450"/>
    </row>
    <row r="523" spans="1:9" ht="12" customHeight="1">
      <c r="A523" s="370"/>
      <c r="B523" s="182" t="s">
        <v>314</v>
      </c>
      <c r="C523" s="367"/>
      <c r="D523" s="367"/>
      <c r="E523" s="367"/>
      <c r="F523" s="367"/>
      <c r="G523" s="367"/>
      <c r="H523" s="422"/>
      <c r="I523" s="450"/>
    </row>
    <row r="524" spans="1:9" ht="12" customHeight="1">
      <c r="A524" s="370"/>
      <c r="B524" s="372" t="s">
        <v>299</v>
      </c>
      <c r="C524" s="767">
        <v>3933</v>
      </c>
      <c r="D524" s="767">
        <v>3933</v>
      </c>
      <c r="E524" s="767">
        <v>3933</v>
      </c>
      <c r="F524" s="767">
        <v>3933</v>
      </c>
      <c r="G524" s="767">
        <v>3933</v>
      </c>
      <c r="H524" s="744">
        <f>SUM(G524/F524)</f>
        <v>1</v>
      </c>
      <c r="I524" s="579"/>
    </row>
    <row r="525" spans="1:9" ht="12" customHeight="1">
      <c r="A525" s="370"/>
      <c r="B525" s="299" t="s">
        <v>125</v>
      </c>
      <c r="C525" s="767"/>
      <c r="D525" s="767"/>
      <c r="E525" s="767"/>
      <c r="F525" s="767"/>
      <c r="G525" s="767"/>
      <c r="H525" s="422"/>
      <c r="I525" s="495"/>
    </row>
    <row r="526" spans="1:9" ht="12" customHeight="1">
      <c r="A526" s="370"/>
      <c r="B526" s="299" t="s">
        <v>308</v>
      </c>
      <c r="C526" s="367"/>
      <c r="D526" s="367"/>
      <c r="E526" s="367"/>
      <c r="F526" s="367"/>
      <c r="G526" s="367"/>
      <c r="H526" s="422"/>
      <c r="I526" s="450"/>
    </row>
    <row r="527" spans="1:9" ht="12" customHeight="1" thickBot="1">
      <c r="A527" s="370"/>
      <c r="B527" s="434" t="s">
        <v>93</v>
      </c>
      <c r="C527" s="768"/>
      <c r="D527" s="768"/>
      <c r="E527" s="768"/>
      <c r="F527" s="768"/>
      <c r="G527" s="768"/>
      <c r="H527" s="1182"/>
      <c r="I527" s="468"/>
    </row>
    <row r="528" spans="1:9" ht="12" customHeight="1" thickBot="1">
      <c r="A528" s="382"/>
      <c r="B528" s="438" t="s">
        <v>142</v>
      </c>
      <c r="C528" s="377">
        <f>SUM(C524:C527)</f>
        <v>3933</v>
      </c>
      <c r="D528" s="377">
        <f>SUM(D524:D527)</f>
        <v>3933</v>
      </c>
      <c r="E528" s="377">
        <f>SUM(E524:E527)</f>
        <v>3933</v>
      </c>
      <c r="F528" s="377">
        <f>SUM(F524:F527)</f>
        <v>3933</v>
      </c>
      <c r="G528" s="377">
        <f>SUM(G524:G527)</f>
        <v>3933</v>
      </c>
      <c r="H528" s="1185">
        <f>SUM(G528/F528)</f>
        <v>1</v>
      </c>
      <c r="I528" s="454"/>
    </row>
    <row r="529" spans="1:9" ht="12" customHeight="1">
      <c r="A529" s="74">
        <v>3347</v>
      </c>
      <c r="B529" s="461" t="s">
        <v>123</v>
      </c>
      <c r="C529" s="367"/>
      <c r="D529" s="367"/>
      <c r="E529" s="367"/>
      <c r="F529" s="367"/>
      <c r="G529" s="367"/>
      <c r="H529" s="422"/>
      <c r="I529" s="450"/>
    </row>
    <row r="530" spans="1:9" ht="12" customHeight="1">
      <c r="A530" s="370"/>
      <c r="B530" s="371" t="s">
        <v>120</v>
      </c>
      <c r="C530" s="367"/>
      <c r="D530" s="367"/>
      <c r="E530" s="367"/>
      <c r="F530" s="367"/>
      <c r="G530" s="367"/>
      <c r="H530" s="422"/>
      <c r="I530" s="450"/>
    </row>
    <row r="531" spans="1:9" ht="12" customHeight="1">
      <c r="A531" s="370"/>
      <c r="B531" s="182" t="s">
        <v>314</v>
      </c>
      <c r="C531" s="367"/>
      <c r="D531" s="367"/>
      <c r="E531" s="367"/>
      <c r="F531" s="367"/>
      <c r="G531" s="367"/>
      <c r="H531" s="422"/>
      <c r="I531" s="450"/>
    </row>
    <row r="532" spans="1:9" ht="12" customHeight="1">
      <c r="A532" s="370"/>
      <c r="B532" s="372" t="s">
        <v>299</v>
      </c>
      <c r="C532" s="767">
        <v>2000</v>
      </c>
      <c r="D532" s="767">
        <v>2000</v>
      </c>
      <c r="E532" s="767">
        <v>2000</v>
      </c>
      <c r="F532" s="767">
        <v>2000</v>
      </c>
      <c r="G532" s="767">
        <v>2000</v>
      </c>
      <c r="H532" s="744">
        <f>SUM(G532/F532)</f>
        <v>1</v>
      </c>
      <c r="I532" s="579"/>
    </row>
    <row r="533" spans="1:9" ht="12" customHeight="1">
      <c r="A533" s="370"/>
      <c r="B533" s="299" t="s">
        <v>125</v>
      </c>
      <c r="C533" s="767"/>
      <c r="D533" s="767"/>
      <c r="E533" s="767"/>
      <c r="F533" s="767"/>
      <c r="G533" s="767"/>
      <c r="H533" s="422"/>
      <c r="I533" s="495"/>
    </row>
    <row r="534" spans="1:9" ht="12" customHeight="1">
      <c r="A534" s="370"/>
      <c r="B534" s="299" t="s">
        <v>308</v>
      </c>
      <c r="C534" s="367"/>
      <c r="D534" s="367"/>
      <c r="E534" s="367"/>
      <c r="F534" s="367"/>
      <c r="G534" s="367"/>
      <c r="H534" s="422"/>
      <c r="I534" s="450"/>
    </row>
    <row r="535" spans="1:9" ht="12" customHeight="1" thickBot="1">
      <c r="A535" s="370"/>
      <c r="B535" s="434" t="s">
        <v>93</v>
      </c>
      <c r="C535" s="386"/>
      <c r="D535" s="386"/>
      <c r="E535" s="386"/>
      <c r="F535" s="386"/>
      <c r="G535" s="386"/>
      <c r="H535" s="1182"/>
      <c r="I535" s="468"/>
    </row>
    <row r="536" spans="1:9" ht="12" customHeight="1" thickBot="1">
      <c r="A536" s="382"/>
      <c r="B536" s="438" t="s">
        <v>142</v>
      </c>
      <c r="C536" s="377">
        <f>SUM(C532:C535)</f>
        <v>2000</v>
      </c>
      <c r="D536" s="377">
        <f>SUM(D532:D535)</f>
        <v>2000</v>
      </c>
      <c r="E536" s="377">
        <f>SUM(E532:E535)</f>
        <v>2000</v>
      </c>
      <c r="F536" s="377">
        <f>SUM(F532:F535)</f>
        <v>2000</v>
      </c>
      <c r="G536" s="377">
        <f>SUM(G532:G535)</f>
        <v>2000</v>
      </c>
      <c r="H536" s="1185">
        <f>SUM(G536/F536)</f>
        <v>1</v>
      </c>
      <c r="I536" s="454"/>
    </row>
    <row r="537" spans="1:9" ht="12" customHeight="1">
      <c r="A537" s="74">
        <v>3348</v>
      </c>
      <c r="B537" s="461" t="s">
        <v>183</v>
      </c>
      <c r="C537" s="367"/>
      <c r="D537" s="367"/>
      <c r="E537" s="367"/>
      <c r="F537" s="367"/>
      <c r="G537" s="367"/>
      <c r="H537" s="422"/>
      <c r="I537" s="450"/>
    </row>
    <row r="538" spans="1:9" ht="12" customHeight="1">
      <c r="A538" s="370"/>
      <c r="B538" s="371" t="s">
        <v>120</v>
      </c>
      <c r="C538" s="367"/>
      <c r="D538" s="367"/>
      <c r="E538" s="367"/>
      <c r="F538" s="367"/>
      <c r="G538" s="367"/>
      <c r="H538" s="422"/>
      <c r="I538" s="450"/>
    </row>
    <row r="539" spans="1:9" ht="12" customHeight="1">
      <c r="A539" s="370"/>
      <c r="B539" s="182" t="s">
        <v>314</v>
      </c>
      <c r="C539" s="367"/>
      <c r="D539" s="367"/>
      <c r="E539" s="367"/>
      <c r="F539" s="367"/>
      <c r="G539" s="367"/>
      <c r="H539" s="422"/>
      <c r="I539" s="450"/>
    </row>
    <row r="540" spans="1:9" ht="12" customHeight="1">
      <c r="A540" s="370"/>
      <c r="B540" s="372" t="s">
        <v>299</v>
      </c>
      <c r="C540" s="767">
        <v>400</v>
      </c>
      <c r="D540" s="767">
        <v>400</v>
      </c>
      <c r="E540" s="767">
        <v>400</v>
      </c>
      <c r="F540" s="767">
        <v>400</v>
      </c>
      <c r="G540" s="767">
        <v>400</v>
      </c>
      <c r="H540" s="744">
        <f>SUM(G540/F540)</f>
        <v>1</v>
      </c>
      <c r="I540" s="579"/>
    </row>
    <row r="541" spans="1:9" ht="12" customHeight="1">
      <c r="A541" s="370"/>
      <c r="B541" s="299" t="s">
        <v>125</v>
      </c>
      <c r="C541" s="767"/>
      <c r="D541" s="767"/>
      <c r="E541" s="767"/>
      <c r="F541" s="767"/>
      <c r="G541" s="767"/>
      <c r="H541" s="422"/>
      <c r="I541" s="495"/>
    </row>
    <row r="542" spans="1:9" ht="12" customHeight="1">
      <c r="A542" s="370"/>
      <c r="B542" s="299" t="s">
        <v>308</v>
      </c>
      <c r="C542" s="367"/>
      <c r="D542" s="367"/>
      <c r="E542" s="367"/>
      <c r="F542" s="367"/>
      <c r="G542" s="367"/>
      <c r="H542" s="422"/>
      <c r="I542" s="450"/>
    </row>
    <row r="543" spans="1:9" ht="12" customHeight="1" thickBot="1">
      <c r="A543" s="370"/>
      <c r="B543" s="434" t="s">
        <v>93</v>
      </c>
      <c r="C543" s="768"/>
      <c r="D543" s="768"/>
      <c r="E543" s="768"/>
      <c r="F543" s="768"/>
      <c r="G543" s="768"/>
      <c r="H543" s="1182"/>
      <c r="I543" s="468"/>
    </row>
    <row r="544" spans="1:9" ht="12" customHeight="1" thickBot="1">
      <c r="A544" s="382"/>
      <c r="B544" s="438" t="s">
        <v>142</v>
      </c>
      <c r="C544" s="377">
        <f>SUM(C540:C543)</f>
        <v>400</v>
      </c>
      <c r="D544" s="377">
        <f>SUM(D540:D543)</f>
        <v>400</v>
      </c>
      <c r="E544" s="377">
        <f>SUM(E540:E543)</f>
        <v>400</v>
      </c>
      <c r="F544" s="377">
        <f>SUM(F540:F543)</f>
        <v>400</v>
      </c>
      <c r="G544" s="377">
        <f>SUM(G540:G543)</f>
        <v>400</v>
      </c>
      <c r="H544" s="1185">
        <f>SUM(G544/F544)</f>
        <v>1</v>
      </c>
      <c r="I544" s="454"/>
    </row>
    <row r="545" spans="1:9" ht="12" customHeight="1">
      <c r="A545" s="74">
        <v>3349</v>
      </c>
      <c r="B545" s="461" t="s">
        <v>393</v>
      </c>
      <c r="C545" s="367"/>
      <c r="D545" s="367"/>
      <c r="E545" s="367"/>
      <c r="F545" s="367"/>
      <c r="G545" s="367"/>
      <c r="H545" s="422"/>
      <c r="I545" s="450"/>
    </row>
    <row r="546" spans="1:9" ht="12" customHeight="1">
      <c r="A546" s="370"/>
      <c r="B546" s="371" t="s">
        <v>120</v>
      </c>
      <c r="C546" s="367"/>
      <c r="D546" s="367"/>
      <c r="E546" s="367"/>
      <c r="F546" s="367"/>
      <c r="G546" s="367"/>
      <c r="H546" s="422"/>
      <c r="I546" s="450"/>
    </row>
    <row r="547" spans="1:9" ht="12" customHeight="1">
      <c r="A547" s="370"/>
      <c r="B547" s="182" t="s">
        <v>314</v>
      </c>
      <c r="C547" s="367"/>
      <c r="D547" s="367"/>
      <c r="E547" s="367"/>
      <c r="F547" s="367"/>
      <c r="G547" s="367"/>
      <c r="H547" s="422"/>
      <c r="I547" s="450"/>
    </row>
    <row r="548" spans="1:9" ht="12" customHeight="1">
      <c r="A548" s="370"/>
      <c r="B548" s="372" t="s">
        <v>299</v>
      </c>
      <c r="C548" s="767">
        <v>2880</v>
      </c>
      <c r="D548" s="767">
        <v>3360</v>
      </c>
      <c r="E548" s="767">
        <v>3360</v>
      </c>
      <c r="F548" s="767">
        <v>3360</v>
      </c>
      <c r="G548" s="767">
        <v>3360</v>
      </c>
      <c r="H548" s="744">
        <f>SUM(G548/F548)</f>
        <v>1</v>
      </c>
      <c r="I548" s="579"/>
    </row>
    <row r="549" spans="1:9" ht="12" customHeight="1">
      <c r="A549" s="370"/>
      <c r="B549" s="299" t="s">
        <v>125</v>
      </c>
      <c r="C549" s="767"/>
      <c r="D549" s="767"/>
      <c r="E549" s="767"/>
      <c r="F549" s="767"/>
      <c r="G549" s="767"/>
      <c r="H549" s="422"/>
      <c r="I549" s="495"/>
    </row>
    <row r="550" spans="1:9" ht="12" customHeight="1">
      <c r="A550" s="370"/>
      <c r="B550" s="299" t="s">
        <v>308</v>
      </c>
      <c r="C550" s="367"/>
      <c r="D550" s="367"/>
      <c r="E550" s="367"/>
      <c r="F550" s="367"/>
      <c r="G550" s="367"/>
      <c r="H550" s="422"/>
      <c r="I550" s="450"/>
    </row>
    <row r="551" spans="1:9" ht="12" customHeight="1" thickBot="1">
      <c r="A551" s="370"/>
      <c r="B551" s="434" t="s">
        <v>93</v>
      </c>
      <c r="C551" s="768"/>
      <c r="D551" s="768"/>
      <c r="E551" s="768"/>
      <c r="F551" s="768"/>
      <c r="G551" s="768"/>
      <c r="H551" s="1182"/>
      <c r="I551" s="468"/>
    </row>
    <row r="552" spans="1:9" ht="12" customHeight="1" thickBot="1">
      <c r="A552" s="382"/>
      <c r="B552" s="438" t="s">
        <v>142</v>
      </c>
      <c r="C552" s="377">
        <f>SUM(C548:C551)</f>
        <v>2880</v>
      </c>
      <c r="D552" s="377">
        <f>SUM(D548:D551)</f>
        <v>3360</v>
      </c>
      <c r="E552" s="377">
        <f>SUM(E548:E551)</f>
        <v>3360</v>
      </c>
      <c r="F552" s="377">
        <f>SUM(F548:F551)</f>
        <v>3360</v>
      </c>
      <c r="G552" s="377">
        <f>SUM(G548:G551)</f>
        <v>3360</v>
      </c>
      <c r="H552" s="1185">
        <f>SUM(G552/F552)</f>
        <v>1</v>
      </c>
      <c r="I552" s="454"/>
    </row>
    <row r="553" spans="1:9" ht="12" customHeight="1">
      <c r="A553" s="383">
        <v>3350</v>
      </c>
      <c r="B553" s="212" t="s">
        <v>309</v>
      </c>
      <c r="C553" s="367"/>
      <c r="D553" s="367"/>
      <c r="E553" s="367"/>
      <c r="F553" s="367"/>
      <c r="G553" s="367"/>
      <c r="H553" s="422"/>
      <c r="I553" s="450"/>
    </row>
    <row r="554" spans="1:9" ht="12" customHeight="1">
      <c r="A554" s="370"/>
      <c r="B554" s="371" t="s">
        <v>120</v>
      </c>
      <c r="C554" s="298"/>
      <c r="D554" s="298"/>
      <c r="E554" s="298"/>
      <c r="F554" s="298"/>
      <c r="G554" s="298"/>
      <c r="H554" s="422"/>
      <c r="I554" s="450"/>
    </row>
    <row r="555" spans="1:9" ht="12" customHeight="1">
      <c r="A555" s="370"/>
      <c r="B555" s="182" t="s">
        <v>314</v>
      </c>
      <c r="C555" s="298"/>
      <c r="D555" s="298"/>
      <c r="E555" s="298"/>
      <c r="F555" s="298"/>
      <c r="G555" s="298"/>
      <c r="H555" s="422"/>
      <c r="I555" s="579"/>
    </row>
    <row r="556" spans="1:9" ht="12" customHeight="1">
      <c r="A556" s="370"/>
      <c r="B556" s="372" t="s">
        <v>299</v>
      </c>
      <c r="C556" s="767">
        <v>100</v>
      </c>
      <c r="D556" s="767">
        <v>100</v>
      </c>
      <c r="E556" s="767">
        <v>100</v>
      </c>
      <c r="F556" s="767">
        <v>100</v>
      </c>
      <c r="G556" s="767">
        <v>100</v>
      </c>
      <c r="H556" s="744">
        <f>SUM(G556/F556)</f>
        <v>1</v>
      </c>
      <c r="I556" s="579"/>
    </row>
    <row r="557" spans="1:9" ht="12" customHeight="1">
      <c r="A557" s="370"/>
      <c r="B557" s="299" t="s">
        <v>125</v>
      </c>
      <c r="C557" s="767"/>
      <c r="D557" s="767"/>
      <c r="E557" s="767"/>
      <c r="F557" s="767"/>
      <c r="G557" s="767"/>
      <c r="H557" s="422"/>
      <c r="I557" s="578"/>
    </row>
    <row r="558" spans="1:9" ht="12" customHeight="1">
      <c r="A558" s="370"/>
      <c r="B558" s="299" t="s">
        <v>308</v>
      </c>
      <c r="C558" s="298"/>
      <c r="D558" s="298"/>
      <c r="E558" s="298"/>
      <c r="F558" s="298"/>
      <c r="G558" s="298"/>
      <c r="H558" s="422"/>
      <c r="I558" s="450"/>
    </row>
    <row r="559" spans="1:9" ht="12" customHeight="1" thickBot="1">
      <c r="A559" s="370"/>
      <c r="B559" s="434" t="s">
        <v>93</v>
      </c>
      <c r="C559" s="769"/>
      <c r="D559" s="769"/>
      <c r="E559" s="769"/>
      <c r="F559" s="769"/>
      <c r="G559" s="769"/>
      <c r="H559" s="1182"/>
      <c r="I559" s="468"/>
    </row>
    <row r="560" spans="1:9" ht="12.75" thickBot="1">
      <c r="A560" s="382"/>
      <c r="B560" s="438" t="s">
        <v>142</v>
      </c>
      <c r="C560" s="377">
        <f>SUM(C554:C559)</f>
        <v>100</v>
      </c>
      <c r="D560" s="377">
        <f>SUM(D554:D559)</f>
        <v>100</v>
      </c>
      <c r="E560" s="377">
        <f>SUM(E554:E559)</f>
        <v>100</v>
      </c>
      <c r="F560" s="377">
        <f>SUM(F554:F559)</f>
        <v>100</v>
      </c>
      <c r="G560" s="377">
        <f>SUM(G554:G559)</f>
        <v>100</v>
      </c>
      <c r="H560" s="1185">
        <f>SUM(G560/F560)</f>
        <v>1</v>
      </c>
      <c r="I560" s="454"/>
    </row>
    <row r="561" spans="1:9" ht="12">
      <c r="A561" s="383">
        <v>3351</v>
      </c>
      <c r="B561" s="212" t="s">
        <v>422</v>
      </c>
      <c r="C561" s="367"/>
      <c r="D561" s="367"/>
      <c r="E561" s="367"/>
      <c r="F561" s="367"/>
      <c r="G561" s="367"/>
      <c r="H561" s="422"/>
      <c r="I561" s="419"/>
    </row>
    <row r="562" spans="1:9" ht="12">
      <c r="A562" s="370"/>
      <c r="B562" s="371" t="s">
        <v>120</v>
      </c>
      <c r="C562" s="298"/>
      <c r="D562" s="298"/>
      <c r="E562" s="298"/>
      <c r="F562" s="298"/>
      <c r="G562" s="298"/>
      <c r="H562" s="422"/>
      <c r="I562" s="423"/>
    </row>
    <row r="563" spans="1:9" ht="12">
      <c r="A563" s="370"/>
      <c r="B563" s="182" t="s">
        <v>314</v>
      </c>
      <c r="C563" s="298"/>
      <c r="D563" s="298"/>
      <c r="E563" s="298"/>
      <c r="F563" s="298"/>
      <c r="G563" s="298"/>
      <c r="H563" s="422"/>
      <c r="I563" s="423"/>
    </row>
    <row r="564" spans="1:9" ht="12">
      <c r="A564" s="370"/>
      <c r="B564" s="372" t="s">
        <v>299</v>
      </c>
      <c r="C564" s="767">
        <v>1150</v>
      </c>
      <c r="D564" s="767">
        <v>1150</v>
      </c>
      <c r="E564" s="767">
        <v>1150</v>
      </c>
      <c r="F564" s="767">
        <v>1150</v>
      </c>
      <c r="G564" s="767">
        <v>1150</v>
      </c>
      <c r="H564" s="744">
        <f>SUM(G564/F564)</f>
        <v>1</v>
      </c>
      <c r="I564" s="579"/>
    </row>
    <row r="565" spans="1:9" ht="12">
      <c r="A565" s="370"/>
      <c r="B565" s="299" t="s">
        <v>125</v>
      </c>
      <c r="C565" s="767">
        <v>18850</v>
      </c>
      <c r="D565" s="767">
        <v>18850</v>
      </c>
      <c r="E565" s="767">
        <v>18850</v>
      </c>
      <c r="F565" s="767">
        <v>18850</v>
      </c>
      <c r="G565" s="767">
        <v>18850</v>
      </c>
      <c r="H565" s="744">
        <f>SUM(G565/F565)</f>
        <v>1</v>
      </c>
      <c r="I565" s="423"/>
    </row>
    <row r="566" spans="1:9" ht="12">
      <c r="A566" s="370"/>
      <c r="B566" s="299" t="s">
        <v>308</v>
      </c>
      <c r="C566" s="298"/>
      <c r="D566" s="298"/>
      <c r="E566" s="298"/>
      <c r="F566" s="298"/>
      <c r="G566" s="298"/>
      <c r="H566" s="422"/>
      <c r="I566" s="423"/>
    </row>
    <row r="567" spans="1:9" ht="12.75" thickBot="1">
      <c r="A567" s="370"/>
      <c r="B567" s="434" t="s">
        <v>93</v>
      </c>
      <c r="C567" s="769"/>
      <c r="D567" s="769"/>
      <c r="E567" s="769"/>
      <c r="F567" s="769"/>
      <c r="G567" s="769"/>
      <c r="H567" s="422"/>
      <c r="I567" s="452"/>
    </row>
    <row r="568" spans="1:9" ht="12.75" thickBot="1">
      <c r="A568" s="382"/>
      <c r="B568" s="438" t="s">
        <v>142</v>
      </c>
      <c r="C568" s="377">
        <f>SUM(C562:C567)</f>
        <v>20000</v>
      </c>
      <c r="D568" s="377">
        <f>SUM(D562:D567)</f>
        <v>20000</v>
      </c>
      <c r="E568" s="377">
        <f>SUM(E562:E567)</f>
        <v>20000</v>
      </c>
      <c r="F568" s="377">
        <f>SUM(F562:F567)</f>
        <v>20000</v>
      </c>
      <c r="G568" s="377">
        <f>SUM(G562:G567)</f>
        <v>20000</v>
      </c>
      <c r="H568" s="1182">
        <f>SUM(G568/F568)</f>
        <v>1</v>
      </c>
      <c r="I568" s="468"/>
    </row>
    <row r="569" spans="1:9" ht="12">
      <c r="A569" s="74">
        <v>3352</v>
      </c>
      <c r="B569" s="461" t="s">
        <v>504</v>
      </c>
      <c r="C569" s="367"/>
      <c r="D569" s="367"/>
      <c r="E569" s="367"/>
      <c r="F569" s="367"/>
      <c r="G569" s="367"/>
      <c r="H569" s="422"/>
      <c r="I569" s="450"/>
    </row>
    <row r="570" spans="1:9" ht="12">
      <c r="A570" s="370"/>
      <c r="B570" s="371" t="s">
        <v>120</v>
      </c>
      <c r="C570" s="298"/>
      <c r="D570" s="298"/>
      <c r="E570" s="298"/>
      <c r="F570" s="298"/>
      <c r="G570" s="298"/>
      <c r="H570" s="422"/>
      <c r="I570" s="450"/>
    </row>
    <row r="571" spans="1:9" ht="12">
      <c r="A571" s="370"/>
      <c r="B571" s="182" t="s">
        <v>314</v>
      </c>
      <c r="C571" s="298"/>
      <c r="D571" s="298"/>
      <c r="E571" s="298"/>
      <c r="F571" s="298"/>
      <c r="G571" s="298"/>
      <c r="H571" s="422"/>
      <c r="I571" s="450"/>
    </row>
    <row r="572" spans="1:9" ht="12">
      <c r="A572" s="370"/>
      <c r="B572" s="372" t="s">
        <v>299</v>
      </c>
      <c r="C572" s="767">
        <v>17000</v>
      </c>
      <c r="D572" s="767">
        <v>21010</v>
      </c>
      <c r="E572" s="767">
        <v>21010</v>
      </c>
      <c r="F572" s="767">
        <v>21010</v>
      </c>
      <c r="G572" s="767">
        <v>21010</v>
      </c>
      <c r="H572" s="744">
        <f>SUM(G572/F572)</f>
        <v>1</v>
      </c>
      <c r="I572" s="579"/>
    </row>
    <row r="573" spans="1:9" ht="12">
      <c r="A573" s="370"/>
      <c r="B573" s="299" t="s">
        <v>125</v>
      </c>
      <c r="C573" s="767"/>
      <c r="D573" s="767"/>
      <c r="E573" s="767"/>
      <c r="F573" s="767"/>
      <c r="G573" s="767"/>
      <c r="H573" s="422"/>
      <c r="I573" s="579"/>
    </row>
    <row r="574" spans="1:9" ht="12">
      <c r="A574" s="370"/>
      <c r="B574" s="299" t="s">
        <v>308</v>
      </c>
      <c r="C574" s="767"/>
      <c r="D574" s="767"/>
      <c r="E574" s="767"/>
      <c r="F574" s="767"/>
      <c r="G574" s="767"/>
      <c r="H574" s="422"/>
      <c r="I574" s="450"/>
    </row>
    <row r="575" spans="1:9" ht="12">
      <c r="A575" s="370"/>
      <c r="B575" s="299" t="s">
        <v>125</v>
      </c>
      <c r="C575" s="373"/>
      <c r="D575" s="373"/>
      <c r="E575" s="373"/>
      <c r="F575" s="373"/>
      <c r="G575" s="373"/>
      <c r="H575" s="422"/>
      <c r="I575" s="451"/>
    </row>
    <row r="576" spans="1:9" ht="12.75" thickBot="1">
      <c r="A576" s="370"/>
      <c r="B576" s="434" t="s">
        <v>93</v>
      </c>
      <c r="C576" s="766"/>
      <c r="D576" s="766"/>
      <c r="E576" s="766"/>
      <c r="F576" s="766"/>
      <c r="G576" s="766"/>
      <c r="H576" s="1182"/>
      <c r="I576" s="468"/>
    </row>
    <row r="577" spans="1:9" ht="12.75" thickBot="1">
      <c r="A577" s="382"/>
      <c r="B577" s="438" t="s">
        <v>142</v>
      </c>
      <c r="C577" s="772">
        <f>SUM(C570:C576)</f>
        <v>17000</v>
      </c>
      <c r="D577" s="772">
        <f>SUM(D570:D576)</f>
        <v>21010</v>
      </c>
      <c r="E577" s="772">
        <f>SUM(E570:E576)</f>
        <v>21010</v>
      </c>
      <c r="F577" s="772">
        <f>SUM(F570:F576)</f>
        <v>21010</v>
      </c>
      <c r="G577" s="772">
        <f>SUM(G570:G576)</f>
        <v>21010</v>
      </c>
      <c r="H577" s="1185">
        <f>SUM(G577/F577)</f>
        <v>1</v>
      </c>
      <c r="I577" s="454"/>
    </row>
    <row r="578" spans="1:9" ht="12" customHeight="1">
      <c r="A578" s="74">
        <v>3355</v>
      </c>
      <c r="B578" s="212" t="s">
        <v>41</v>
      </c>
      <c r="C578" s="367"/>
      <c r="D578" s="367"/>
      <c r="E578" s="367"/>
      <c r="F578" s="367"/>
      <c r="G578" s="367"/>
      <c r="H578" s="422"/>
      <c r="I578" s="450"/>
    </row>
    <row r="579" spans="1:9" ht="12" customHeight="1">
      <c r="A579" s="370"/>
      <c r="B579" s="371" t="s">
        <v>120</v>
      </c>
      <c r="C579" s="767">
        <v>2200</v>
      </c>
      <c r="D579" s="767">
        <v>2337</v>
      </c>
      <c r="E579" s="767">
        <v>2337</v>
      </c>
      <c r="F579" s="767">
        <v>2337</v>
      </c>
      <c r="G579" s="1219">
        <v>1737</v>
      </c>
      <c r="H579" s="744">
        <f>SUM(G579/F579)</f>
        <v>0.7432605905006419</v>
      </c>
      <c r="I579" s="450"/>
    </row>
    <row r="580" spans="1:9" ht="12" customHeight="1">
      <c r="A580" s="370"/>
      <c r="B580" s="182" t="s">
        <v>314</v>
      </c>
      <c r="C580" s="767">
        <v>800</v>
      </c>
      <c r="D580" s="767">
        <v>877</v>
      </c>
      <c r="E580" s="767">
        <v>877</v>
      </c>
      <c r="F580" s="767">
        <v>877</v>
      </c>
      <c r="G580" s="1219">
        <v>597</v>
      </c>
      <c r="H580" s="744">
        <f>SUM(G580/F580)</f>
        <v>0.6807297605473204</v>
      </c>
      <c r="I580" s="579"/>
    </row>
    <row r="581" spans="1:9" ht="12" customHeight="1">
      <c r="A581" s="370"/>
      <c r="B581" s="372" t="s">
        <v>299</v>
      </c>
      <c r="C581" s="767">
        <v>7000</v>
      </c>
      <c r="D581" s="767">
        <v>9815</v>
      </c>
      <c r="E581" s="767">
        <v>10815</v>
      </c>
      <c r="F581" s="767">
        <v>10815</v>
      </c>
      <c r="G581" s="767">
        <v>11695</v>
      </c>
      <c r="H581" s="744">
        <f>SUM(G581/F581)</f>
        <v>1.0813684697179842</v>
      </c>
      <c r="I581" s="450"/>
    </row>
    <row r="582" spans="1:9" ht="12" customHeight="1">
      <c r="A582" s="370"/>
      <c r="B582" s="299" t="s">
        <v>125</v>
      </c>
      <c r="C582" s="767"/>
      <c r="D582" s="767"/>
      <c r="E582" s="767"/>
      <c r="F582" s="767"/>
      <c r="G582" s="767"/>
      <c r="H582" s="422"/>
      <c r="I582" s="450"/>
    </row>
    <row r="583" spans="1:9" ht="12" customHeight="1">
      <c r="A583" s="370"/>
      <c r="B583" s="299" t="s">
        <v>308</v>
      </c>
      <c r="C583" s="767"/>
      <c r="D583" s="767"/>
      <c r="E583" s="767"/>
      <c r="F583" s="767"/>
      <c r="G583" s="767"/>
      <c r="H583" s="422"/>
      <c r="I583" s="450"/>
    </row>
    <row r="584" spans="1:9" ht="12" customHeight="1" thickBot="1">
      <c r="A584" s="370"/>
      <c r="B584" s="434" t="s">
        <v>93</v>
      </c>
      <c r="C584" s="771"/>
      <c r="D584" s="771"/>
      <c r="E584" s="771"/>
      <c r="F584" s="771"/>
      <c r="G584" s="771"/>
      <c r="H584" s="1182"/>
      <c r="I584" s="468"/>
    </row>
    <row r="585" spans="1:9" ht="12" customHeight="1" thickBot="1">
      <c r="A585" s="382"/>
      <c r="B585" s="438" t="s">
        <v>142</v>
      </c>
      <c r="C585" s="377">
        <f>SUM(C579:C584)</f>
        <v>10000</v>
      </c>
      <c r="D585" s="377">
        <f>SUM(D579:D584)</f>
        <v>13029</v>
      </c>
      <c r="E585" s="377">
        <f>SUM(E579:E584)</f>
        <v>14029</v>
      </c>
      <c r="F585" s="377">
        <f>SUM(F579:F584)</f>
        <v>14029</v>
      </c>
      <c r="G585" s="377">
        <f>SUM(G579:G584)</f>
        <v>14029</v>
      </c>
      <c r="H585" s="1185">
        <f>SUM(G585/F585)</f>
        <v>1</v>
      </c>
      <c r="I585" s="454"/>
    </row>
    <row r="586" spans="1:9" ht="12" customHeight="1">
      <c r="A586" s="74">
        <v>3356</v>
      </c>
      <c r="B586" s="212" t="s">
        <v>22</v>
      </c>
      <c r="C586" s="367"/>
      <c r="D586" s="367"/>
      <c r="E586" s="367"/>
      <c r="F586" s="367"/>
      <c r="G586" s="367"/>
      <c r="H586" s="422"/>
      <c r="I586" s="450"/>
    </row>
    <row r="587" spans="1:9" ht="12" customHeight="1">
      <c r="A587" s="370"/>
      <c r="B587" s="371" t="s">
        <v>120</v>
      </c>
      <c r="C587" s="767"/>
      <c r="D587" s="767"/>
      <c r="E587" s="767"/>
      <c r="F587" s="767"/>
      <c r="G587" s="767"/>
      <c r="H587" s="422"/>
      <c r="I587" s="450"/>
    </row>
    <row r="588" spans="1:9" ht="12" customHeight="1">
      <c r="A588" s="370"/>
      <c r="B588" s="182" t="s">
        <v>314</v>
      </c>
      <c r="C588" s="767"/>
      <c r="D588" s="767"/>
      <c r="E588" s="767"/>
      <c r="F588" s="767"/>
      <c r="G588" s="767"/>
      <c r="H588" s="422"/>
      <c r="I588" s="450"/>
    </row>
    <row r="589" spans="1:9" ht="12" customHeight="1">
      <c r="A589" s="370"/>
      <c r="B589" s="372" t="s">
        <v>299</v>
      </c>
      <c r="C589" s="767"/>
      <c r="D589" s="767"/>
      <c r="E589" s="767"/>
      <c r="F589" s="767"/>
      <c r="G589" s="767"/>
      <c r="H589" s="422"/>
      <c r="I589" s="578"/>
    </row>
    <row r="590" spans="1:9" ht="12" customHeight="1">
      <c r="A590" s="370"/>
      <c r="B590" s="299" t="s">
        <v>125</v>
      </c>
      <c r="C590" s="767"/>
      <c r="D590" s="767"/>
      <c r="E590" s="767"/>
      <c r="F590" s="767"/>
      <c r="G590" s="767"/>
      <c r="H590" s="422"/>
      <c r="I590" s="450"/>
    </row>
    <row r="591" spans="1:9" ht="12" customHeight="1">
      <c r="A591" s="370"/>
      <c r="B591" s="299" t="s">
        <v>308</v>
      </c>
      <c r="C591" s="767">
        <v>15000</v>
      </c>
      <c r="D591" s="767">
        <v>16293</v>
      </c>
      <c r="E591" s="767">
        <v>16293</v>
      </c>
      <c r="F591" s="767">
        <v>16293</v>
      </c>
      <c r="G591" s="767">
        <v>16293</v>
      </c>
      <c r="H591" s="744">
        <f>SUM(G591/F591)</f>
        <v>1</v>
      </c>
      <c r="I591" s="450"/>
    </row>
    <row r="592" spans="1:9" ht="12" customHeight="1" thickBot="1">
      <c r="A592" s="370"/>
      <c r="B592" s="434" t="s">
        <v>93</v>
      </c>
      <c r="C592" s="768"/>
      <c r="D592" s="768"/>
      <c r="E592" s="768"/>
      <c r="F592" s="768"/>
      <c r="G592" s="768"/>
      <c r="H592" s="1182"/>
      <c r="I592" s="468"/>
    </row>
    <row r="593" spans="1:9" ht="12" customHeight="1" thickBot="1">
      <c r="A593" s="382"/>
      <c r="B593" s="438" t="s">
        <v>142</v>
      </c>
      <c r="C593" s="377">
        <f>SUM(C587:C592)</f>
        <v>15000</v>
      </c>
      <c r="D593" s="377">
        <f>SUM(D587:D592)</f>
        <v>16293</v>
      </c>
      <c r="E593" s="377">
        <f>SUM(E587:E592)</f>
        <v>16293</v>
      </c>
      <c r="F593" s="377">
        <f>SUM(F587:F592)</f>
        <v>16293</v>
      </c>
      <c r="G593" s="377">
        <f>SUM(G587:G592)</f>
        <v>16293</v>
      </c>
      <c r="H593" s="1185">
        <f>SUM(G593/F593)</f>
        <v>1</v>
      </c>
      <c r="I593" s="454"/>
    </row>
    <row r="594" spans="1:9" ht="12" customHeight="1">
      <c r="A594" s="74">
        <v>3357</v>
      </c>
      <c r="B594" s="212" t="s">
        <v>42</v>
      </c>
      <c r="C594" s="367"/>
      <c r="D594" s="367"/>
      <c r="E594" s="367"/>
      <c r="F594" s="367"/>
      <c r="G594" s="367"/>
      <c r="H594" s="422"/>
      <c r="I594" s="450"/>
    </row>
    <row r="595" spans="1:9" ht="12" customHeight="1">
      <c r="A595" s="370"/>
      <c r="B595" s="371" t="s">
        <v>120</v>
      </c>
      <c r="C595" s="767">
        <v>800</v>
      </c>
      <c r="D595" s="767">
        <v>902</v>
      </c>
      <c r="E595" s="767">
        <v>902</v>
      </c>
      <c r="F595" s="767">
        <v>902</v>
      </c>
      <c r="G595" s="767">
        <v>902</v>
      </c>
      <c r="H595" s="744">
        <f>SUM(G595/F595)</f>
        <v>1</v>
      </c>
      <c r="I595" s="450"/>
    </row>
    <row r="596" spans="1:9" ht="12" customHeight="1">
      <c r="A596" s="370"/>
      <c r="B596" s="182" t="s">
        <v>314</v>
      </c>
      <c r="C596" s="767">
        <v>450</v>
      </c>
      <c r="D596" s="767">
        <v>647</v>
      </c>
      <c r="E596" s="767">
        <v>647</v>
      </c>
      <c r="F596" s="767">
        <v>647</v>
      </c>
      <c r="G596" s="767">
        <v>647</v>
      </c>
      <c r="H596" s="744">
        <f>SUM(G596/F596)</f>
        <v>1</v>
      </c>
      <c r="I596" s="450"/>
    </row>
    <row r="597" spans="1:9" ht="12" customHeight="1">
      <c r="A597" s="370"/>
      <c r="B597" s="372" t="s">
        <v>299</v>
      </c>
      <c r="C597" s="767">
        <v>3750</v>
      </c>
      <c r="D597" s="767">
        <v>6252</v>
      </c>
      <c r="E597" s="767">
        <v>6252</v>
      </c>
      <c r="F597" s="767">
        <v>6188</v>
      </c>
      <c r="G597" s="767">
        <v>6188</v>
      </c>
      <c r="H597" s="744">
        <f>SUM(G597/F597)</f>
        <v>1</v>
      </c>
      <c r="I597" s="579"/>
    </row>
    <row r="598" spans="1:9" ht="12" customHeight="1">
      <c r="A598" s="370"/>
      <c r="B598" s="299" t="s">
        <v>125</v>
      </c>
      <c r="C598" s="767"/>
      <c r="D598" s="767"/>
      <c r="E598" s="767"/>
      <c r="F598" s="767"/>
      <c r="G598" s="767"/>
      <c r="H598" s="744"/>
      <c r="I598" s="450"/>
    </row>
    <row r="599" spans="1:9" ht="12" customHeight="1">
      <c r="A599" s="370"/>
      <c r="B599" s="299" t="s">
        <v>308</v>
      </c>
      <c r="C599" s="367"/>
      <c r="D599" s="367"/>
      <c r="E599" s="367"/>
      <c r="F599" s="367"/>
      <c r="G599" s="367"/>
      <c r="H599" s="744"/>
      <c r="I599" s="450"/>
    </row>
    <row r="600" spans="1:9" ht="12" customHeight="1" thickBot="1">
      <c r="A600" s="370"/>
      <c r="B600" s="434" t="s">
        <v>264</v>
      </c>
      <c r="C600" s="771"/>
      <c r="D600" s="771"/>
      <c r="E600" s="771"/>
      <c r="F600" s="771">
        <v>64</v>
      </c>
      <c r="G600" s="771">
        <v>64</v>
      </c>
      <c r="H600" s="1184">
        <f>SUM(G600/F600)</f>
        <v>1</v>
      </c>
      <c r="I600" s="468"/>
    </row>
    <row r="601" spans="1:9" ht="12" customHeight="1" thickBot="1">
      <c r="A601" s="382"/>
      <c r="B601" s="438" t="s">
        <v>142</v>
      </c>
      <c r="C601" s="377">
        <f>SUM(C595:C600)</f>
        <v>5000</v>
      </c>
      <c r="D601" s="377">
        <f>SUM(D595:D600)</f>
        <v>7801</v>
      </c>
      <c r="E601" s="377">
        <f>SUM(E595:E600)</f>
        <v>7801</v>
      </c>
      <c r="F601" s="377">
        <f>SUM(F595:F600)</f>
        <v>7801</v>
      </c>
      <c r="G601" s="377">
        <f>SUM(G595:G600)</f>
        <v>7801</v>
      </c>
      <c r="H601" s="1183">
        <f>SUM(G601/F601)</f>
        <v>1</v>
      </c>
      <c r="I601" s="454"/>
    </row>
    <row r="602" spans="1:9" ht="12" customHeight="1">
      <c r="A602" s="74">
        <v>3358</v>
      </c>
      <c r="B602" s="212" t="s">
        <v>373</v>
      </c>
      <c r="C602" s="367"/>
      <c r="D602" s="367"/>
      <c r="E602" s="367"/>
      <c r="F602" s="367"/>
      <c r="G602" s="367"/>
      <c r="H602" s="422"/>
      <c r="I602" s="450"/>
    </row>
    <row r="603" spans="1:9" ht="12" customHeight="1">
      <c r="A603" s="370"/>
      <c r="B603" s="371" t="s">
        <v>120</v>
      </c>
      <c r="C603" s="767"/>
      <c r="D603" s="767"/>
      <c r="E603" s="767"/>
      <c r="F603" s="767"/>
      <c r="G603" s="767"/>
      <c r="H603" s="422"/>
      <c r="I603" s="450"/>
    </row>
    <row r="604" spans="1:9" ht="12" customHeight="1">
      <c r="A604" s="370"/>
      <c r="B604" s="182" t="s">
        <v>314</v>
      </c>
      <c r="C604" s="767"/>
      <c r="D604" s="767"/>
      <c r="E604" s="767"/>
      <c r="F604" s="767"/>
      <c r="G604" s="767"/>
      <c r="H604" s="422"/>
      <c r="I604" s="450"/>
    </row>
    <row r="605" spans="1:9" ht="12" customHeight="1">
      <c r="A605" s="370"/>
      <c r="B605" s="372" t="s">
        <v>299</v>
      </c>
      <c r="C605" s="767">
        <v>500</v>
      </c>
      <c r="D605" s="767">
        <v>1000</v>
      </c>
      <c r="E605" s="767">
        <v>1000</v>
      </c>
      <c r="F605" s="767">
        <v>1000</v>
      </c>
      <c r="G605" s="767">
        <v>1000</v>
      </c>
      <c r="H605" s="744">
        <f>SUM(G605/F605)</f>
        <v>1</v>
      </c>
      <c r="I605" s="579"/>
    </row>
    <row r="606" spans="1:9" ht="12" customHeight="1">
      <c r="A606" s="370"/>
      <c r="B606" s="299" t="s">
        <v>125</v>
      </c>
      <c r="C606" s="767"/>
      <c r="D606" s="767"/>
      <c r="E606" s="767"/>
      <c r="F606" s="767"/>
      <c r="G606" s="767"/>
      <c r="H606" s="422"/>
      <c r="I606" s="450"/>
    </row>
    <row r="607" spans="1:9" ht="12" customHeight="1">
      <c r="A607" s="370"/>
      <c r="B607" s="299" t="s">
        <v>308</v>
      </c>
      <c r="C607" s="367"/>
      <c r="D607" s="367"/>
      <c r="E607" s="367"/>
      <c r="F607" s="367"/>
      <c r="G607" s="367"/>
      <c r="H607" s="422"/>
      <c r="I607" s="450"/>
    </row>
    <row r="608" spans="1:9" ht="12" customHeight="1" thickBot="1">
      <c r="A608" s="370"/>
      <c r="B608" s="434" t="s">
        <v>93</v>
      </c>
      <c r="C608" s="768"/>
      <c r="D608" s="768"/>
      <c r="E608" s="768"/>
      <c r="F608" s="768"/>
      <c r="G608" s="768"/>
      <c r="H608" s="1182"/>
      <c r="I608" s="468"/>
    </row>
    <row r="609" spans="1:9" ht="12" customHeight="1" thickBot="1">
      <c r="A609" s="382"/>
      <c r="B609" s="438" t="s">
        <v>142</v>
      </c>
      <c r="C609" s="377">
        <f>SUM(C603:C608)</f>
        <v>500</v>
      </c>
      <c r="D609" s="377">
        <f>SUM(D603:D608)</f>
        <v>1000</v>
      </c>
      <c r="E609" s="377">
        <f>SUM(E603:E608)</f>
        <v>1000</v>
      </c>
      <c r="F609" s="377">
        <f>SUM(F603:F608)</f>
        <v>1000</v>
      </c>
      <c r="G609" s="377">
        <f>SUM(G603:G608)</f>
        <v>1000</v>
      </c>
      <c r="H609" s="1185">
        <f>SUM(G609/F609)</f>
        <v>1</v>
      </c>
      <c r="I609" s="454"/>
    </row>
    <row r="610" spans="1:9" ht="12" customHeight="1">
      <c r="A610" s="74">
        <v>3360</v>
      </c>
      <c r="B610" s="212" t="s">
        <v>410</v>
      </c>
      <c r="C610" s="367"/>
      <c r="D610" s="367"/>
      <c r="E610" s="367"/>
      <c r="F610" s="367"/>
      <c r="G610" s="367"/>
      <c r="H610" s="422"/>
      <c r="I610" s="450"/>
    </row>
    <row r="611" spans="1:9" ht="12" customHeight="1">
      <c r="A611" s="370"/>
      <c r="B611" s="371" t="s">
        <v>120</v>
      </c>
      <c r="C611" s="767"/>
      <c r="D611" s="767"/>
      <c r="E611" s="767"/>
      <c r="F611" s="767"/>
      <c r="G611" s="767"/>
      <c r="H611" s="422"/>
      <c r="I611" s="450"/>
    </row>
    <row r="612" spans="1:9" ht="12" customHeight="1">
      <c r="A612" s="370"/>
      <c r="B612" s="182" t="s">
        <v>314</v>
      </c>
      <c r="C612" s="767"/>
      <c r="D612" s="767"/>
      <c r="E612" s="767"/>
      <c r="F612" s="767"/>
      <c r="G612" s="767"/>
      <c r="H612" s="422"/>
      <c r="I612" s="579"/>
    </row>
    <row r="613" spans="1:9" ht="12" customHeight="1">
      <c r="A613" s="370"/>
      <c r="B613" s="372" t="s">
        <v>299</v>
      </c>
      <c r="C613" s="767">
        <v>2000</v>
      </c>
      <c r="D613" s="767">
        <v>2286</v>
      </c>
      <c r="E613" s="767">
        <v>2286</v>
      </c>
      <c r="F613" s="767">
        <v>2286</v>
      </c>
      <c r="G613" s="767">
        <v>2286</v>
      </c>
      <c r="H613" s="744">
        <f>SUM(G613/F613)</f>
        <v>1</v>
      </c>
      <c r="I613" s="579"/>
    </row>
    <row r="614" spans="1:9" ht="12" customHeight="1">
      <c r="A614" s="370"/>
      <c r="B614" s="299" t="s">
        <v>125</v>
      </c>
      <c r="C614" s="767"/>
      <c r="D614" s="767"/>
      <c r="E614" s="767"/>
      <c r="F614" s="767"/>
      <c r="G614" s="767"/>
      <c r="H614" s="422"/>
      <c r="I614" s="450"/>
    </row>
    <row r="615" spans="1:9" ht="12" customHeight="1">
      <c r="A615" s="370"/>
      <c r="B615" s="299" t="s">
        <v>308</v>
      </c>
      <c r="C615" s="767"/>
      <c r="D615" s="767"/>
      <c r="E615" s="767"/>
      <c r="F615" s="767"/>
      <c r="G615" s="767"/>
      <c r="H615" s="422"/>
      <c r="I615" s="450"/>
    </row>
    <row r="616" spans="1:9" ht="12" customHeight="1" thickBot="1">
      <c r="A616" s="370"/>
      <c r="B616" s="434" t="s">
        <v>93</v>
      </c>
      <c r="C616" s="388"/>
      <c r="D616" s="388"/>
      <c r="E616" s="388"/>
      <c r="F616" s="388"/>
      <c r="G616" s="388"/>
      <c r="H616" s="1182"/>
      <c r="I616" s="468"/>
    </row>
    <row r="617" spans="1:9" ht="12" customHeight="1" thickBot="1">
      <c r="A617" s="382"/>
      <c r="B617" s="438" t="s">
        <v>142</v>
      </c>
      <c r="C617" s="377">
        <f>SUM(C613:C616)</f>
        <v>2000</v>
      </c>
      <c r="D617" s="377">
        <f>SUM(D613:D616)</f>
        <v>2286</v>
      </c>
      <c r="E617" s="377">
        <f>SUM(E613:E616)</f>
        <v>2286</v>
      </c>
      <c r="F617" s="377">
        <f>SUM(F613:F616)</f>
        <v>2286</v>
      </c>
      <c r="G617" s="377">
        <f>SUM(G613:G616)</f>
        <v>2286</v>
      </c>
      <c r="H617" s="1185">
        <f>SUM(G617/F617)</f>
        <v>1</v>
      </c>
      <c r="I617" s="454"/>
    </row>
    <row r="618" spans="1:9" ht="12" customHeight="1">
      <c r="A618" s="74">
        <v>3362</v>
      </c>
      <c r="B618" s="212" t="s">
        <v>517</v>
      </c>
      <c r="C618" s="367"/>
      <c r="D618" s="367"/>
      <c r="E618" s="367"/>
      <c r="F618" s="367"/>
      <c r="G618" s="367"/>
      <c r="H618" s="422"/>
      <c r="I618" s="450"/>
    </row>
    <row r="619" spans="1:9" ht="12" customHeight="1">
      <c r="A619" s="370"/>
      <c r="B619" s="651" t="s">
        <v>120</v>
      </c>
      <c r="C619" s="767">
        <v>130</v>
      </c>
      <c r="D619" s="767">
        <v>138</v>
      </c>
      <c r="E619" s="767">
        <v>138</v>
      </c>
      <c r="F619" s="767">
        <v>154</v>
      </c>
      <c r="G619" s="767">
        <v>154</v>
      </c>
      <c r="H619" s="744">
        <f>SUM(G619/F619)</f>
        <v>1</v>
      </c>
      <c r="I619" s="450"/>
    </row>
    <row r="620" spans="1:9" ht="12" customHeight="1">
      <c r="A620" s="370"/>
      <c r="B620" s="182" t="s">
        <v>314</v>
      </c>
      <c r="C620" s="767">
        <v>70</v>
      </c>
      <c r="D620" s="767">
        <v>188</v>
      </c>
      <c r="E620" s="767">
        <v>188</v>
      </c>
      <c r="F620" s="767">
        <v>196</v>
      </c>
      <c r="G620" s="767">
        <v>196</v>
      </c>
      <c r="H620" s="744">
        <f>SUM(G620/F620)</f>
        <v>1</v>
      </c>
      <c r="I620" s="450"/>
    </row>
    <row r="621" spans="1:9" ht="12" customHeight="1">
      <c r="A621" s="370"/>
      <c r="B621" s="372" t="s">
        <v>299</v>
      </c>
      <c r="C621" s="767">
        <v>2800</v>
      </c>
      <c r="D621" s="767">
        <v>4026</v>
      </c>
      <c r="E621" s="767">
        <v>4026</v>
      </c>
      <c r="F621" s="767">
        <v>3802</v>
      </c>
      <c r="G621" s="767">
        <v>3802</v>
      </c>
      <c r="H621" s="744">
        <f>SUM(G621/F621)</f>
        <v>1</v>
      </c>
      <c r="I621" s="579"/>
    </row>
    <row r="622" spans="1:9" ht="12" customHeight="1">
      <c r="A622" s="370"/>
      <c r="B622" s="299" t="s">
        <v>125</v>
      </c>
      <c r="C622" s="767"/>
      <c r="D622" s="767"/>
      <c r="E622" s="767"/>
      <c r="F622" s="767"/>
      <c r="G622" s="767"/>
      <c r="H622" s="744"/>
      <c r="I622" s="450"/>
    </row>
    <row r="623" spans="1:9" ht="12" customHeight="1">
      <c r="A623" s="370"/>
      <c r="B623" s="299" t="s">
        <v>308</v>
      </c>
      <c r="C623" s="767"/>
      <c r="D623" s="767">
        <v>90</v>
      </c>
      <c r="E623" s="767">
        <v>90</v>
      </c>
      <c r="F623" s="767">
        <v>290</v>
      </c>
      <c r="G623" s="767">
        <v>290</v>
      </c>
      <c r="H623" s="744">
        <f>SUM(G623/F623)</f>
        <v>1</v>
      </c>
      <c r="I623" s="450"/>
    </row>
    <row r="624" spans="1:9" ht="12" customHeight="1" thickBot="1">
      <c r="A624" s="370"/>
      <c r="B624" s="434" t="s">
        <v>286</v>
      </c>
      <c r="C624" s="771"/>
      <c r="D624" s="771"/>
      <c r="E624" s="771"/>
      <c r="F624" s="771"/>
      <c r="G624" s="771"/>
      <c r="H624" s="1182"/>
      <c r="I624" s="468"/>
    </row>
    <row r="625" spans="1:9" ht="12" customHeight="1" thickBot="1">
      <c r="A625" s="382"/>
      <c r="B625" s="438" t="s">
        <v>142</v>
      </c>
      <c r="C625" s="377">
        <f>SUM(C619:C624)</f>
        <v>3000</v>
      </c>
      <c r="D625" s="377">
        <f>SUM(D619:D624)</f>
        <v>4442</v>
      </c>
      <c r="E625" s="377">
        <f>SUM(E619:E624)</f>
        <v>4442</v>
      </c>
      <c r="F625" s="377">
        <f>SUM(F619:F624)</f>
        <v>4442</v>
      </c>
      <c r="G625" s="377">
        <f>SUM(G619:G624)</f>
        <v>4442</v>
      </c>
      <c r="H625" s="1185">
        <f>SUM(G625/F625)</f>
        <v>1</v>
      </c>
      <c r="I625" s="454"/>
    </row>
    <row r="626" spans="1:9" ht="12" customHeight="1" thickBot="1">
      <c r="A626" s="463">
        <v>3400</v>
      </c>
      <c r="B626" s="474" t="s">
        <v>98</v>
      </c>
      <c r="C626" s="377">
        <f>SUM(C627+C669)</f>
        <v>227922</v>
      </c>
      <c r="D626" s="377">
        <f>SUM(D627+D669)</f>
        <v>275394</v>
      </c>
      <c r="E626" s="377">
        <f>SUM(E627+E669)</f>
        <v>308644</v>
      </c>
      <c r="F626" s="377">
        <f>SUM(F627+F669)</f>
        <v>308644</v>
      </c>
      <c r="G626" s="377">
        <f>SUM(G627+G669)</f>
        <v>308644</v>
      </c>
      <c r="H626" s="1185">
        <f>SUM(G626/F626)</f>
        <v>1</v>
      </c>
      <c r="I626" s="454"/>
    </row>
    <row r="627" spans="1:9" ht="12" customHeight="1" thickBot="1">
      <c r="A627" s="74">
        <v>3410</v>
      </c>
      <c r="B627" s="389" t="s">
        <v>99</v>
      </c>
      <c r="C627" s="377">
        <f>SUM(C635+C643+C652+C660+C668)</f>
        <v>50000</v>
      </c>
      <c r="D627" s="377">
        <f>SUM(D635+D643+D652+D660+D668)</f>
        <v>51754</v>
      </c>
      <c r="E627" s="377">
        <f>SUM(E635+E643+E652+E660+E668)</f>
        <v>51754</v>
      </c>
      <c r="F627" s="377">
        <f>SUM(F635+F643+F652+F660+F668)</f>
        <v>51754</v>
      </c>
      <c r="G627" s="377">
        <f>SUM(G635+G643+G652+G660+G668)</f>
        <v>51754</v>
      </c>
      <c r="H627" s="1185">
        <f>SUM(G627/F627)</f>
        <v>1</v>
      </c>
      <c r="I627" s="454"/>
    </row>
    <row r="628" spans="1:9" s="417" customFormat="1" ht="12" customHeight="1">
      <c r="A628" s="74">
        <v>3412</v>
      </c>
      <c r="B628" s="212" t="s">
        <v>411</v>
      </c>
      <c r="C628" s="367"/>
      <c r="D628" s="367"/>
      <c r="E628" s="367"/>
      <c r="F628" s="367"/>
      <c r="G628" s="367"/>
      <c r="H628" s="422"/>
      <c r="I628" s="449"/>
    </row>
    <row r="629" spans="1:9" ht="12" customHeight="1">
      <c r="A629" s="370"/>
      <c r="B629" s="371" t="s">
        <v>120</v>
      </c>
      <c r="C629" s="298">
        <v>3000</v>
      </c>
      <c r="D629" s="298">
        <v>3000</v>
      </c>
      <c r="E629" s="298">
        <v>3000</v>
      </c>
      <c r="F629" s="298">
        <v>1600</v>
      </c>
      <c r="G629" s="298">
        <v>1600</v>
      </c>
      <c r="H629" s="744">
        <f>SUM(G629/F629)</f>
        <v>1</v>
      </c>
      <c r="I629" s="450"/>
    </row>
    <row r="630" spans="1:9" ht="12" customHeight="1">
      <c r="A630" s="370"/>
      <c r="B630" s="182" t="s">
        <v>314</v>
      </c>
      <c r="C630" s="298">
        <v>1400</v>
      </c>
      <c r="D630" s="298">
        <v>1462</v>
      </c>
      <c r="E630" s="298">
        <v>1462</v>
      </c>
      <c r="F630" s="298">
        <v>835</v>
      </c>
      <c r="G630" s="298">
        <v>835</v>
      </c>
      <c r="H630" s="744">
        <f>SUM(G630/F630)</f>
        <v>1</v>
      </c>
      <c r="I630" s="579"/>
    </row>
    <row r="631" spans="1:9" ht="12" customHeight="1">
      <c r="A631" s="370"/>
      <c r="B631" s="372" t="s">
        <v>299</v>
      </c>
      <c r="C631" s="767">
        <v>6600</v>
      </c>
      <c r="D631" s="767">
        <v>7948</v>
      </c>
      <c r="E631" s="767">
        <v>7948</v>
      </c>
      <c r="F631" s="767">
        <v>9948</v>
      </c>
      <c r="G631" s="767">
        <v>9948</v>
      </c>
      <c r="H631" s="744">
        <f>SUM(G631/F631)</f>
        <v>1</v>
      </c>
      <c r="I631" s="450"/>
    </row>
    <row r="632" spans="1:9" ht="12" customHeight="1">
      <c r="A632" s="370"/>
      <c r="B632" s="299" t="s">
        <v>125</v>
      </c>
      <c r="C632" s="767"/>
      <c r="D632" s="767"/>
      <c r="E632" s="767"/>
      <c r="F632" s="767"/>
      <c r="G632" s="767"/>
      <c r="H632" s="744"/>
      <c r="I632" s="450"/>
    </row>
    <row r="633" spans="1:9" ht="12">
      <c r="A633" s="370"/>
      <c r="B633" s="299" t="s">
        <v>308</v>
      </c>
      <c r="C633" s="298"/>
      <c r="D633" s="298"/>
      <c r="E633" s="298"/>
      <c r="F633" s="298"/>
      <c r="G633" s="298"/>
      <c r="H633" s="744"/>
      <c r="I633" s="451"/>
    </row>
    <row r="634" spans="1:9" ht="12.75" thickBot="1">
      <c r="A634" s="370"/>
      <c r="B634" s="434" t="s">
        <v>266</v>
      </c>
      <c r="C634" s="766"/>
      <c r="D634" s="766">
        <v>29</v>
      </c>
      <c r="E634" s="766">
        <v>29</v>
      </c>
      <c r="F634" s="766">
        <v>56</v>
      </c>
      <c r="G634" s="766">
        <v>56</v>
      </c>
      <c r="H634" s="1184">
        <f>SUM(G634/F634)</f>
        <v>1</v>
      </c>
      <c r="I634" s="452"/>
    </row>
    <row r="635" spans="1:9" ht="12" customHeight="1" thickBot="1">
      <c r="A635" s="382"/>
      <c r="B635" s="438" t="s">
        <v>142</v>
      </c>
      <c r="C635" s="772">
        <f>SUM(C629:C634)</f>
        <v>11000</v>
      </c>
      <c r="D635" s="772">
        <f>SUM(D629:D634)</f>
        <v>12439</v>
      </c>
      <c r="E635" s="772">
        <f>SUM(E629:E634)</f>
        <v>12439</v>
      </c>
      <c r="F635" s="772">
        <f>SUM(F629:F634)</f>
        <v>12439</v>
      </c>
      <c r="G635" s="772">
        <f>SUM(G629:G634)</f>
        <v>12439</v>
      </c>
      <c r="H635" s="1185">
        <f>SUM(G635/F635)</f>
        <v>1</v>
      </c>
      <c r="I635" s="491"/>
    </row>
    <row r="636" spans="1:9" ht="12" customHeight="1">
      <c r="A636" s="74">
        <v>3413</v>
      </c>
      <c r="B636" s="461" t="s">
        <v>146</v>
      </c>
      <c r="C636" s="367"/>
      <c r="D636" s="367"/>
      <c r="E636" s="367"/>
      <c r="F636" s="367"/>
      <c r="G636" s="367"/>
      <c r="H636" s="422"/>
      <c r="I636" s="419"/>
    </row>
    <row r="637" spans="1:9" ht="12" customHeight="1">
      <c r="A637" s="370"/>
      <c r="B637" s="371" t="s">
        <v>120</v>
      </c>
      <c r="C637" s="298">
        <v>1400</v>
      </c>
      <c r="D637" s="298">
        <v>1507</v>
      </c>
      <c r="E637" s="298">
        <v>1507</v>
      </c>
      <c r="F637" s="298">
        <v>1507</v>
      </c>
      <c r="G637" s="298">
        <v>1507</v>
      </c>
      <c r="H637" s="744">
        <f>SUM(G637/F637)</f>
        <v>1</v>
      </c>
      <c r="I637" s="450"/>
    </row>
    <row r="638" spans="1:9" ht="12" customHeight="1">
      <c r="A638" s="370"/>
      <c r="B638" s="182" t="s">
        <v>314</v>
      </c>
      <c r="C638" s="298">
        <v>1000</v>
      </c>
      <c r="D638" s="298">
        <v>1053</v>
      </c>
      <c r="E638" s="298">
        <v>1053</v>
      </c>
      <c r="F638" s="298">
        <v>1053</v>
      </c>
      <c r="G638" s="1216">
        <v>557</v>
      </c>
      <c r="H638" s="744">
        <f>SUM(G638/F638)</f>
        <v>0.5289648622981956</v>
      </c>
      <c r="I638" s="579"/>
    </row>
    <row r="639" spans="1:9" ht="12" customHeight="1">
      <c r="A639" s="370"/>
      <c r="B639" s="372" t="s">
        <v>299</v>
      </c>
      <c r="C639" s="767">
        <v>6100</v>
      </c>
      <c r="D639" s="767">
        <v>5255</v>
      </c>
      <c r="E639" s="767">
        <v>5255</v>
      </c>
      <c r="F639" s="767">
        <v>6755</v>
      </c>
      <c r="G639" s="1219">
        <v>6755</v>
      </c>
      <c r="H639" s="744">
        <f>SUM(G639/F639)</f>
        <v>1</v>
      </c>
      <c r="I639" s="579"/>
    </row>
    <row r="640" spans="1:9" ht="12" customHeight="1">
      <c r="A640" s="370"/>
      <c r="B640" s="299" t="s">
        <v>125</v>
      </c>
      <c r="C640" s="767"/>
      <c r="D640" s="767"/>
      <c r="E640" s="767"/>
      <c r="F640" s="767"/>
      <c r="G640" s="1219"/>
      <c r="H640" s="744"/>
      <c r="I640" s="450"/>
    </row>
    <row r="641" spans="1:9" ht="12" customHeight="1">
      <c r="A641" s="370"/>
      <c r="B641" s="299" t="s">
        <v>308</v>
      </c>
      <c r="C641" s="298">
        <v>3500</v>
      </c>
      <c r="D641" s="298">
        <v>3500</v>
      </c>
      <c r="E641" s="298">
        <v>3500</v>
      </c>
      <c r="F641" s="298">
        <v>2000</v>
      </c>
      <c r="G641" s="1216">
        <v>2496</v>
      </c>
      <c r="H641" s="744">
        <f>SUM(G641/F641)</f>
        <v>1.248</v>
      </c>
      <c r="I641" s="450"/>
    </row>
    <row r="642" spans="1:9" ht="12" customHeight="1" thickBot="1">
      <c r="A642" s="370"/>
      <c r="B642" s="434" t="s">
        <v>93</v>
      </c>
      <c r="C642" s="769"/>
      <c r="D642" s="769"/>
      <c r="E642" s="769"/>
      <c r="F642" s="769"/>
      <c r="G642" s="769"/>
      <c r="H642" s="1182"/>
      <c r="I642" s="468"/>
    </row>
    <row r="643" spans="1:9" ht="12" customHeight="1" thickBot="1">
      <c r="A643" s="382"/>
      <c r="B643" s="438" t="s">
        <v>142</v>
      </c>
      <c r="C643" s="772">
        <f>SUM(C637:C642)</f>
        <v>12000</v>
      </c>
      <c r="D643" s="772">
        <f>SUM(D637:D642)</f>
        <v>11315</v>
      </c>
      <c r="E643" s="772">
        <f>SUM(E637:E642)</f>
        <v>11315</v>
      </c>
      <c r="F643" s="772">
        <f>SUM(F637:F642)</f>
        <v>11315</v>
      </c>
      <c r="G643" s="772">
        <f>SUM(G637:G642)</f>
        <v>11315</v>
      </c>
      <c r="H643" s="1185">
        <f>SUM(G643/F643)</f>
        <v>1</v>
      </c>
      <c r="I643" s="491"/>
    </row>
    <row r="644" spans="1:9" ht="12" customHeight="1">
      <c r="A644" s="74">
        <v>3414</v>
      </c>
      <c r="B644" s="461" t="s">
        <v>88</v>
      </c>
      <c r="C644" s="367"/>
      <c r="D644" s="367"/>
      <c r="E644" s="367"/>
      <c r="F644" s="367"/>
      <c r="G644" s="367"/>
      <c r="H644" s="422"/>
      <c r="I644" s="419"/>
    </row>
    <row r="645" spans="1:9" ht="12" customHeight="1">
      <c r="A645" s="370"/>
      <c r="B645" s="371" t="s">
        <v>120</v>
      </c>
      <c r="C645" s="298"/>
      <c r="D645" s="298"/>
      <c r="E645" s="298"/>
      <c r="F645" s="298"/>
      <c r="G645" s="298"/>
      <c r="H645" s="422"/>
      <c r="I645" s="450"/>
    </row>
    <row r="646" spans="1:9" ht="12" customHeight="1">
      <c r="A646" s="370"/>
      <c r="B646" s="182" t="s">
        <v>314</v>
      </c>
      <c r="C646" s="298"/>
      <c r="D646" s="298"/>
      <c r="E646" s="298"/>
      <c r="F646" s="298"/>
      <c r="G646" s="298"/>
      <c r="H646" s="422"/>
      <c r="I646" s="579"/>
    </row>
    <row r="647" spans="1:9" ht="12" customHeight="1">
      <c r="A647" s="370"/>
      <c r="B647" s="372" t="s">
        <v>299</v>
      </c>
      <c r="C647" s="767"/>
      <c r="D647" s="767"/>
      <c r="E647" s="767"/>
      <c r="F647" s="767"/>
      <c r="G647" s="767"/>
      <c r="H647" s="422"/>
      <c r="I647" s="579"/>
    </row>
    <row r="648" spans="1:9" ht="12" customHeight="1">
      <c r="A648" s="370"/>
      <c r="B648" s="299" t="s">
        <v>125</v>
      </c>
      <c r="C648" s="767"/>
      <c r="D648" s="767"/>
      <c r="E648" s="767"/>
      <c r="F648" s="767"/>
      <c r="G648" s="767"/>
      <c r="H648" s="422"/>
      <c r="I648" s="450"/>
    </row>
    <row r="649" spans="1:9" ht="12" customHeight="1">
      <c r="A649" s="370"/>
      <c r="B649" s="299" t="s">
        <v>308</v>
      </c>
      <c r="C649" s="298">
        <v>2174</v>
      </c>
      <c r="D649" s="298">
        <v>2115</v>
      </c>
      <c r="E649" s="298">
        <v>2115</v>
      </c>
      <c r="F649" s="298">
        <v>2115</v>
      </c>
      <c r="G649" s="298">
        <v>2115</v>
      </c>
      <c r="H649" s="1186">
        <f>SUM(G649/F649)</f>
        <v>1</v>
      </c>
      <c r="I649" s="450"/>
    </row>
    <row r="650" spans="1:9" ht="12" customHeight="1">
      <c r="A650" s="370"/>
      <c r="B650" s="299" t="s">
        <v>264</v>
      </c>
      <c r="C650" s="373"/>
      <c r="D650" s="373"/>
      <c r="E650" s="373"/>
      <c r="F650" s="373"/>
      <c r="G650" s="373"/>
      <c r="H650" s="744"/>
      <c r="I650" s="451"/>
    </row>
    <row r="651" spans="1:9" ht="12" customHeight="1" thickBot="1">
      <c r="A651" s="370"/>
      <c r="B651" s="434" t="s">
        <v>286</v>
      </c>
      <c r="C651" s="375">
        <v>826</v>
      </c>
      <c r="D651" s="375">
        <v>1885</v>
      </c>
      <c r="E651" s="375">
        <v>1885</v>
      </c>
      <c r="F651" s="375">
        <v>1885</v>
      </c>
      <c r="G651" s="375">
        <v>1885</v>
      </c>
      <c r="H651" s="1187">
        <f>SUM(G651/F651)</f>
        <v>1</v>
      </c>
      <c r="I651" s="468"/>
    </row>
    <row r="652" spans="1:9" ht="12" customHeight="1" thickBot="1">
      <c r="A652" s="382"/>
      <c r="B652" s="438" t="s">
        <v>142</v>
      </c>
      <c r="C652" s="377">
        <f>SUM(C645:C651)</f>
        <v>3000</v>
      </c>
      <c r="D652" s="377">
        <f>SUM(D645:D651)</f>
        <v>4000</v>
      </c>
      <c r="E652" s="377">
        <f>SUM(E645:E651)</f>
        <v>4000</v>
      </c>
      <c r="F652" s="377">
        <f>SUM(F645:F651)</f>
        <v>4000</v>
      </c>
      <c r="G652" s="377">
        <f>SUM(G645:G651)</f>
        <v>4000</v>
      </c>
      <c r="H652" s="1185">
        <f>SUM(G652/F652)</f>
        <v>1</v>
      </c>
      <c r="I652" s="491"/>
    </row>
    <row r="653" spans="1:9" ht="12" customHeight="1">
      <c r="A653" s="74">
        <v>3415</v>
      </c>
      <c r="B653" s="461" t="s">
        <v>63</v>
      </c>
      <c r="C653" s="367"/>
      <c r="D653" s="367"/>
      <c r="E653" s="367"/>
      <c r="F653" s="367"/>
      <c r="G653" s="367"/>
      <c r="H653" s="422"/>
      <c r="I653" s="419" t="s">
        <v>24</v>
      </c>
    </row>
    <row r="654" spans="1:9" ht="12" customHeight="1">
      <c r="A654" s="370"/>
      <c r="B654" s="371" t="s">
        <v>120</v>
      </c>
      <c r="C654" s="298"/>
      <c r="D654" s="298"/>
      <c r="E654" s="298"/>
      <c r="F654" s="298"/>
      <c r="G654" s="298"/>
      <c r="H654" s="422"/>
      <c r="I654" s="450"/>
    </row>
    <row r="655" spans="1:9" ht="12" customHeight="1">
      <c r="A655" s="370"/>
      <c r="B655" s="182" t="s">
        <v>314</v>
      </c>
      <c r="C655" s="298"/>
      <c r="D655" s="298"/>
      <c r="E655" s="298"/>
      <c r="F655" s="298"/>
      <c r="G655" s="298"/>
      <c r="H655" s="422"/>
      <c r="I655" s="450"/>
    </row>
    <row r="656" spans="1:9" ht="12" customHeight="1">
      <c r="A656" s="370"/>
      <c r="B656" s="372" t="s">
        <v>299</v>
      </c>
      <c r="C656" s="298"/>
      <c r="D656" s="298"/>
      <c r="E656" s="298"/>
      <c r="F656" s="298"/>
      <c r="G656" s="298"/>
      <c r="H656" s="422"/>
      <c r="I656" s="579"/>
    </row>
    <row r="657" spans="1:9" ht="12" customHeight="1">
      <c r="A657" s="370"/>
      <c r="B657" s="299" t="s">
        <v>125</v>
      </c>
      <c r="C657" s="298"/>
      <c r="D657" s="298"/>
      <c r="E657" s="298"/>
      <c r="F657" s="298"/>
      <c r="G657" s="298"/>
      <c r="H657" s="422"/>
      <c r="I657" s="579"/>
    </row>
    <row r="658" spans="1:9" ht="12" customHeight="1">
      <c r="A658" s="370"/>
      <c r="B658" s="299" t="s">
        <v>308</v>
      </c>
      <c r="C658" s="298">
        <v>4000</v>
      </c>
      <c r="D658" s="298">
        <v>4000</v>
      </c>
      <c r="E658" s="298">
        <v>4000</v>
      </c>
      <c r="F658" s="298">
        <v>4000</v>
      </c>
      <c r="G658" s="298">
        <v>4000</v>
      </c>
      <c r="H658" s="744">
        <f>SUM(G658/F658)</f>
        <v>1</v>
      </c>
      <c r="I658" s="450"/>
    </row>
    <row r="659" spans="1:9" ht="12" customHeight="1" thickBot="1">
      <c r="A659" s="370"/>
      <c r="B659" s="434" t="s">
        <v>93</v>
      </c>
      <c r="C659" s="769"/>
      <c r="D659" s="769"/>
      <c r="E659" s="769"/>
      <c r="F659" s="769"/>
      <c r="G659" s="769"/>
      <c r="H659" s="1182"/>
      <c r="I659" s="468"/>
    </row>
    <row r="660" spans="1:9" ht="12" customHeight="1" thickBot="1">
      <c r="A660" s="382"/>
      <c r="B660" s="438" t="s">
        <v>142</v>
      </c>
      <c r="C660" s="377">
        <f>SUM(C654:C659)</f>
        <v>4000</v>
      </c>
      <c r="D660" s="377">
        <f>SUM(D654:D659)</f>
        <v>4000</v>
      </c>
      <c r="E660" s="377">
        <f>SUM(E654:E659)</f>
        <v>4000</v>
      </c>
      <c r="F660" s="377">
        <f>SUM(F654:F659)</f>
        <v>4000</v>
      </c>
      <c r="G660" s="377">
        <f>SUM(G654:G659)</f>
        <v>4000</v>
      </c>
      <c r="H660" s="1185">
        <f>SUM(G660/F660)</f>
        <v>1</v>
      </c>
      <c r="I660" s="491"/>
    </row>
    <row r="661" spans="1:9" ht="12" customHeight="1">
      <c r="A661" s="74">
        <v>3416</v>
      </c>
      <c r="B661" s="461" t="s">
        <v>182</v>
      </c>
      <c r="C661" s="367"/>
      <c r="D661" s="367"/>
      <c r="E661" s="367"/>
      <c r="F661" s="367"/>
      <c r="G661" s="367"/>
      <c r="H661" s="422"/>
      <c r="I661" s="419" t="s">
        <v>24</v>
      </c>
    </row>
    <row r="662" spans="1:9" ht="12" customHeight="1">
      <c r="A662" s="370"/>
      <c r="B662" s="371" t="s">
        <v>120</v>
      </c>
      <c r="C662" s="298"/>
      <c r="D662" s="298"/>
      <c r="E662" s="298"/>
      <c r="F662" s="298"/>
      <c r="G662" s="298"/>
      <c r="H662" s="422"/>
      <c r="I662" s="450"/>
    </row>
    <row r="663" spans="1:9" ht="12" customHeight="1">
      <c r="A663" s="370"/>
      <c r="B663" s="182" t="s">
        <v>314</v>
      </c>
      <c r="C663" s="298"/>
      <c r="D663" s="298"/>
      <c r="E663" s="298"/>
      <c r="F663" s="298"/>
      <c r="G663" s="298"/>
      <c r="H663" s="422"/>
      <c r="I663" s="450"/>
    </row>
    <row r="664" spans="1:9" ht="12" customHeight="1">
      <c r="A664" s="370"/>
      <c r="B664" s="372" t="s">
        <v>299</v>
      </c>
      <c r="C664" s="298"/>
      <c r="D664" s="298"/>
      <c r="E664" s="298"/>
      <c r="F664" s="298"/>
      <c r="G664" s="298"/>
      <c r="H664" s="422"/>
      <c r="I664" s="579"/>
    </row>
    <row r="665" spans="1:9" ht="12" customHeight="1">
      <c r="A665" s="370"/>
      <c r="B665" s="299" t="s">
        <v>125</v>
      </c>
      <c r="C665" s="298"/>
      <c r="D665" s="298"/>
      <c r="E665" s="298"/>
      <c r="F665" s="298"/>
      <c r="G665" s="298"/>
      <c r="H665" s="422"/>
      <c r="I665" s="579"/>
    </row>
    <row r="666" spans="1:9" ht="12" customHeight="1">
      <c r="A666" s="370"/>
      <c r="B666" s="299" t="s">
        <v>308</v>
      </c>
      <c r="C666" s="298">
        <v>20000</v>
      </c>
      <c r="D666" s="298">
        <v>20000</v>
      </c>
      <c r="E666" s="298">
        <v>20000</v>
      </c>
      <c r="F666" s="298">
        <v>20000</v>
      </c>
      <c r="G666" s="298">
        <v>20000</v>
      </c>
      <c r="H666" s="744">
        <f>SUM(G666/F666)</f>
        <v>1</v>
      </c>
      <c r="I666" s="578"/>
    </row>
    <row r="667" spans="1:9" ht="12" customHeight="1" thickBot="1">
      <c r="A667" s="370"/>
      <c r="B667" s="434" t="s">
        <v>93</v>
      </c>
      <c r="C667" s="375"/>
      <c r="D667" s="375"/>
      <c r="E667" s="375"/>
      <c r="F667" s="375"/>
      <c r="G667" s="375"/>
      <c r="H667" s="1182"/>
      <c r="I667" s="580"/>
    </row>
    <row r="668" spans="1:9" ht="12" customHeight="1" thickBot="1">
      <c r="A668" s="382"/>
      <c r="B668" s="438" t="s">
        <v>142</v>
      </c>
      <c r="C668" s="377">
        <f>SUM(C662:C667)</f>
        <v>20000</v>
      </c>
      <c r="D668" s="377">
        <f>SUM(D662:D667)</f>
        <v>20000</v>
      </c>
      <c r="E668" s="377">
        <f>SUM(E662:E667)</f>
        <v>20000</v>
      </c>
      <c r="F668" s="377">
        <f>SUM(F662:F667)</f>
        <v>20000</v>
      </c>
      <c r="G668" s="377">
        <f>SUM(G662:G667)</f>
        <v>20000</v>
      </c>
      <c r="H668" s="1185">
        <f>SUM(G668/F668)</f>
        <v>1</v>
      </c>
      <c r="I668" s="491"/>
    </row>
    <row r="669" spans="1:9" ht="12" customHeight="1">
      <c r="A669" s="74">
        <v>3420</v>
      </c>
      <c r="B669" s="389" t="s">
        <v>161</v>
      </c>
      <c r="C669" s="367">
        <f>SUM(C685+C693+C701+C733+C709+C717+C725+C741+C749+C757+C766+C774+C782+C677)</f>
        <v>177922</v>
      </c>
      <c r="D669" s="367">
        <f>SUM(D685+D693+D701+D733+D709+D717+D725+D741+D749+D757+D766+D774+D782+D677)</f>
        <v>223640</v>
      </c>
      <c r="E669" s="367">
        <f>SUM(E685+E693+E701+E733+E709+E717+E725+E741+E749+E757+E766+E774+E782+E677)</f>
        <v>256890</v>
      </c>
      <c r="F669" s="367">
        <f>SUM(F685+F693+F701+F733+F709+F717+F725+F741+F749+F757+F766+F774+F782+F677)</f>
        <v>256890</v>
      </c>
      <c r="G669" s="367">
        <f>SUM(G685+G693+G701+G733+G709+G717+G725+G741+G749+G757+G766+G774+G782+G677)</f>
        <v>256890</v>
      </c>
      <c r="H669" s="422">
        <f>SUM(G669/F669)</f>
        <v>1</v>
      </c>
      <c r="I669" s="419"/>
    </row>
    <row r="670" spans="1:9" ht="12" customHeight="1">
      <c r="A670" s="74">
        <v>3421</v>
      </c>
      <c r="B670" s="461" t="s">
        <v>426</v>
      </c>
      <c r="C670" s="367"/>
      <c r="D670" s="367"/>
      <c r="E670" s="367"/>
      <c r="F670" s="367"/>
      <c r="G670" s="367"/>
      <c r="H670" s="422"/>
      <c r="I670" s="449"/>
    </row>
    <row r="671" spans="1:9" ht="12" customHeight="1">
      <c r="A671" s="370"/>
      <c r="B671" s="371" t="s">
        <v>120</v>
      </c>
      <c r="C671" s="298">
        <v>870</v>
      </c>
      <c r="D671" s="298">
        <v>870</v>
      </c>
      <c r="E671" s="298">
        <v>870</v>
      </c>
      <c r="F671" s="298">
        <v>870</v>
      </c>
      <c r="G671" s="1216">
        <v>105</v>
      </c>
      <c r="H671" s="744">
        <f>SUM(G671/F671)</f>
        <v>0.1206896551724138</v>
      </c>
      <c r="I671" s="578"/>
    </row>
    <row r="672" spans="1:9" ht="12" customHeight="1">
      <c r="A672" s="370"/>
      <c r="B672" s="182" t="s">
        <v>314</v>
      </c>
      <c r="C672" s="298">
        <v>250</v>
      </c>
      <c r="D672" s="298">
        <v>250</v>
      </c>
      <c r="E672" s="298">
        <v>250</v>
      </c>
      <c r="F672" s="298">
        <v>250</v>
      </c>
      <c r="G672" s="1216">
        <v>55</v>
      </c>
      <c r="H672" s="744">
        <f>SUM(G672/F672)</f>
        <v>0.22</v>
      </c>
      <c r="I672" s="578"/>
    </row>
    <row r="673" spans="1:9" ht="12" customHeight="1">
      <c r="A673" s="370"/>
      <c r="B673" s="372" t="s">
        <v>299</v>
      </c>
      <c r="C673" s="298">
        <v>2880</v>
      </c>
      <c r="D673" s="298">
        <v>2880</v>
      </c>
      <c r="E673" s="298">
        <v>2880</v>
      </c>
      <c r="F673" s="298">
        <v>2880</v>
      </c>
      <c r="G673" s="1216">
        <v>1050</v>
      </c>
      <c r="H673" s="744">
        <f>SUM(G673/F673)</f>
        <v>0.3645833333333333</v>
      </c>
      <c r="I673" s="579"/>
    </row>
    <row r="674" spans="1:9" ht="12" customHeight="1">
      <c r="A674" s="370"/>
      <c r="B674" s="299" t="s">
        <v>125</v>
      </c>
      <c r="C674" s="298"/>
      <c r="D674" s="298"/>
      <c r="E674" s="298"/>
      <c r="F674" s="298"/>
      <c r="G674" s="1216"/>
      <c r="H674" s="422"/>
      <c r="I674" s="456"/>
    </row>
    <row r="675" spans="1:9" ht="12" customHeight="1">
      <c r="A675" s="370"/>
      <c r="B675" s="299" t="s">
        <v>308</v>
      </c>
      <c r="C675" s="298"/>
      <c r="D675" s="298"/>
      <c r="E675" s="298"/>
      <c r="F675" s="298"/>
      <c r="G675" s="1216">
        <v>2790</v>
      </c>
      <c r="H675" s="422"/>
      <c r="I675" s="423"/>
    </row>
    <row r="676" spans="1:9" ht="12" customHeight="1" thickBot="1">
      <c r="A676" s="370"/>
      <c r="B676" s="434" t="s">
        <v>93</v>
      </c>
      <c r="C676" s="769"/>
      <c r="D676" s="769"/>
      <c r="E676" s="769"/>
      <c r="F676" s="769"/>
      <c r="G676" s="769"/>
      <c r="H676" s="1182"/>
      <c r="I676" s="468"/>
    </row>
    <row r="677" spans="1:9" ht="12" customHeight="1" thickBot="1">
      <c r="A677" s="382"/>
      <c r="B677" s="438" t="s">
        <v>142</v>
      </c>
      <c r="C677" s="377">
        <f>SUM(C671:C676)</f>
        <v>4000</v>
      </c>
      <c r="D677" s="377">
        <f>SUM(D671:D676)</f>
        <v>4000</v>
      </c>
      <c r="E677" s="377">
        <f>SUM(E671:E676)</f>
        <v>4000</v>
      </c>
      <c r="F677" s="377">
        <f>SUM(F671:F676)</f>
        <v>4000</v>
      </c>
      <c r="G677" s="377">
        <f>SUM(G671:G676)</f>
        <v>4000</v>
      </c>
      <c r="H677" s="1185">
        <f>SUM(G677/F677)</f>
        <v>1</v>
      </c>
      <c r="I677" s="454"/>
    </row>
    <row r="678" spans="1:9" ht="12" customHeight="1">
      <c r="A678" s="74">
        <v>3422</v>
      </c>
      <c r="B678" s="461" t="s">
        <v>148</v>
      </c>
      <c r="C678" s="367"/>
      <c r="D678" s="367"/>
      <c r="E678" s="367"/>
      <c r="F678" s="367"/>
      <c r="G678" s="367"/>
      <c r="H678" s="422"/>
      <c r="I678" s="449"/>
    </row>
    <row r="679" spans="1:9" ht="12" customHeight="1">
      <c r="A679" s="370"/>
      <c r="B679" s="371" t="s">
        <v>120</v>
      </c>
      <c r="C679" s="298">
        <v>19000</v>
      </c>
      <c r="D679" s="298">
        <v>21705</v>
      </c>
      <c r="E679" s="298">
        <v>21705</v>
      </c>
      <c r="F679" s="298">
        <v>21705</v>
      </c>
      <c r="G679" s="298">
        <v>21705</v>
      </c>
      <c r="H679" s="744">
        <f>SUM(G679/F679)</f>
        <v>1</v>
      </c>
      <c r="I679" s="578"/>
    </row>
    <row r="680" spans="1:9" ht="12" customHeight="1">
      <c r="A680" s="370"/>
      <c r="B680" s="182" t="s">
        <v>314</v>
      </c>
      <c r="C680" s="298">
        <v>7000</v>
      </c>
      <c r="D680" s="298">
        <v>9165</v>
      </c>
      <c r="E680" s="298">
        <v>9165</v>
      </c>
      <c r="F680" s="298">
        <v>9165</v>
      </c>
      <c r="G680" s="298">
        <v>9165</v>
      </c>
      <c r="H680" s="744">
        <f>SUM(G680/F680)</f>
        <v>1</v>
      </c>
      <c r="I680" s="578"/>
    </row>
    <row r="681" spans="1:9" ht="12" customHeight="1">
      <c r="A681" s="370"/>
      <c r="B681" s="372" t="s">
        <v>299</v>
      </c>
      <c r="C681" s="298">
        <v>14000</v>
      </c>
      <c r="D681" s="298">
        <v>18882</v>
      </c>
      <c r="E681" s="298">
        <v>18882</v>
      </c>
      <c r="F681" s="298">
        <v>18046</v>
      </c>
      <c r="G681" s="298">
        <v>18046</v>
      </c>
      <c r="H681" s="744">
        <f>SUM(G681/F681)</f>
        <v>1</v>
      </c>
      <c r="I681" s="465"/>
    </row>
    <row r="682" spans="1:9" ht="12" customHeight="1">
      <c r="A682" s="370"/>
      <c r="B682" s="299" t="s">
        <v>125</v>
      </c>
      <c r="C682" s="298"/>
      <c r="D682" s="298"/>
      <c r="E682" s="298"/>
      <c r="F682" s="298"/>
      <c r="G682" s="298"/>
      <c r="H682" s="744"/>
      <c r="I682" s="456"/>
    </row>
    <row r="683" spans="1:9" ht="12" customHeight="1">
      <c r="A683" s="370"/>
      <c r="B683" s="299" t="s">
        <v>308</v>
      </c>
      <c r="C683" s="298"/>
      <c r="D683" s="298"/>
      <c r="E683" s="298"/>
      <c r="F683" s="298"/>
      <c r="G683" s="298"/>
      <c r="H683" s="744"/>
      <c r="I683" s="423"/>
    </row>
    <row r="684" spans="1:9" ht="12" customHeight="1" thickBot="1">
      <c r="A684" s="370"/>
      <c r="B684" s="434" t="s">
        <v>21</v>
      </c>
      <c r="C684" s="766"/>
      <c r="D684" s="766"/>
      <c r="E684" s="766">
        <v>30000</v>
      </c>
      <c r="F684" s="766">
        <v>30836</v>
      </c>
      <c r="G684" s="766">
        <v>30836</v>
      </c>
      <c r="H684" s="1184">
        <f>SUM(G684/F684)</f>
        <v>1</v>
      </c>
      <c r="I684" s="468"/>
    </row>
    <row r="685" spans="1:9" ht="12" customHeight="1" thickBot="1">
      <c r="A685" s="382"/>
      <c r="B685" s="438" t="s">
        <v>142</v>
      </c>
      <c r="C685" s="377">
        <f>SUM(C679:C684)</f>
        <v>40000</v>
      </c>
      <c r="D685" s="377">
        <f>SUM(D679:D684)</f>
        <v>49752</v>
      </c>
      <c r="E685" s="377">
        <f>SUM(E679:E684)</f>
        <v>79752</v>
      </c>
      <c r="F685" s="377">
        <f>SUM(F679:F684)</f>
        <v>79752</v>
      </c>
      <c r="G685" s="377">
        <f>SUM(G679:G684)</f>
        <v>79752</v>
      </c>
      <c r="H685" s="1185">
        <f>SUM(G685/F685)</f>
        <v>1</v>
      </c>
      <c r="I685" s="454"/>
    </row>
    <row r="686" spans="1:9" ht="12" customHeight="1">
      <c r="A686" s="74">
        <v>3423</v>
      </c>
      <c r="B686" s="461" t="s">
        <v>147</v>
      </c>
      <c r="C686" s="367"/>
      <c r="D686" s="367"/>
      <c r="E686" s="367"/>
      <c r="F686" s="367"/>
      <c r="G686" s="367"/>
      <c r="H686" s="422"/>
      <c r="I686" s="450"/>
    </row>
    <row r="687" spans="1:9" ht="12" customHeight="1">
      <c r="A687" s="370"/>
      <c r="B687" s="371" t="s">
        <v>120</v>
      </c>
      <c r="C687" s="298">
        <v>2700</v>
      </c>
      <c r="D687" s="298">
        <v>2700</v>
      </c>
      <c r="E687" s="298">
        <v>2700</v>
      </c>
      <c r="F687" s="298">
        <v>4100</v>
      </c>
      <c r="G687" s="298">
        <v>4100</v>
      </c>
      <c r="H687" s="1186">
        <f>SUM(G687/F687)</f>
        <v>1</v>
      </c>
      <c r="I687" s="450"/>
    </row>
    <row r="688" spans="1:9" ht="12" customHeight="1">
      <c r="A688" s="370"/>
      <c r="B688" s="182" t="s">
        <v>314</v>
      </c>
      <c r="C688" s="298">
        <v>2100</v>
      </c>
      <c r="D688" s="298">
        <v>2211</v>
      </c>
      <c r="E688" s="298">
        <v>2211</v>
      </c>
      <c r="F688" s="298">
        <v>2211</v>
      </c>
      <c r="G688" s="298">
        <v>2211</v>
      </c>
      <c r="H688" s="744">
        <f>SUM(G688/F688)</f>
        <v>1</v>
      </c>
      <c r="I688" s="578"/>
    </row>
    <row r="689" spans="1:9" ht="12" customHeight="1">
      <c r="A689" s="370"/>
      <c r="B689" s="372" t="s">
        <v>299</v>
      </c>
      <c r="C689" s="298">
        <v>5200</v>
      </c>
      <c r="D689" s="298">
        <v>7099</v>
      </c>
      <c r="E689" s="298">
        <v>7099</v>
      </c>
      <c r="F689" s="298">
        <v>4699</v>
      </c>
      <c r="G689" s="1216">
        <v>4679</v>
      </c>
      <c r="H689" s="744">
        <f>SUM(G689/F689)</f>
        <v>0.9957437752713343</v>
      </c>
      <c r="I689" s="465"/>
    </row>
    <row r="690" spans="1:9" ht="12" customHeight="1">
      <c r="A690" s="370"/>
      <c r="B690" s="299" t="s">
        <v>125</v>
      </c>
      <c r="C690" s="298"/>
      <c r="D690" s="298"/>
      <c r="E690" s="298"/>
      <c r="F690" s="298"/>
      <c r="G690" s="1216"/>
      <c r="H690" s="744"/>
      <c r="I690" s="450"/>
    </row>
    <row r="691" spans="1:9" ht="12" customHeight="1">
      <c r="A691" s="370"/>
      <c r="B691" s="299" t="s">
        <v>308</v>
      </c>
      <c r="C691" s="298">
        <v>2000</v>
      </c>
      <c r="D691" s="298">
        <v>2100</v>
      </c>
      <c r="E691" s="298">
        <v>2100</v>
      </c>
      <c r="F691" s="298">
        <v>2100</v>
      </c>
      <c r="G691" s="1216">
        <v>2120</v>
      </c>
      <c r="H691" s="744">
        <f>SUM(G691/F691)</f>
        <v>1.0095238095238095</v>
      </c>
      <c r="I691" s="450"/>
    </row>
    <row r="692" spans="1:9" ht="12" customHeight="1" thickBot="1">
      <c r="A692" s="370"/>
      <c r="B692" s="434" t="s">
        <v>286</v>
      </c>
      <c r="C692" s="769"/>
      <c r="D692" s="769"/>
      <c r="E692" s="769"/>
      <c r="F692" s="769">
        <v>1000</v>
      </c>
      <c r="G692" s="1224">
        <v>1000</v>
      </c>
      <c r="H692" s="1187">
        <f>SUM(G692/F692)</f>
        <v>1</v>
      </c>
      <c r="I692" s="468"/>
    </row>
    <row r="693" spans="1:9" ht="12.75" customHeight="1" thickBot="1">
      <c r="A693" s="382"/>
      <c r="B693" s="438" t="s">
        <v>142</v>
      </c>
      <c r="C693" s="377">
        <f>SUM(C687:C692)</f>
        <v>12000</v>
      </c>
      <c r="D693" s="377">
        <f>SUM(D687:D692)</f>
        <v>14110</v>
      </c>
      <c r="E693" s="377">
        <f>SUM(E687:E692)</f>
        <v>14110</v>
      </c>
      <c r="F693" s="377">
        <f>SUM(F687:F692)</f>
        <v>14110</v>
      </c>
      <c r="G693" s="377">
        <f>SUM(G687:G692)</f>
        <v>14110</v>
      </c>
      <c r="H693" s="1185">
        <f>SUM(G693/F693)</f>
        <v>1</v>
      </c>
      <c r="I693" s="454"/>
    </row>
    <row r="694" spans="1:9" ht="12.75" customHeight="1">
      <c r="A694" s="74">
        <v>3424</v>
      </c>
      <c r="B694" s="461" t="s">
        <v>312</v>
      </c>
      <c r="C694" s="367"/>
      <c r="D694" s="367"/>
      <c r="E694" s="367"/>
      <c r="F694" s="367"/>
      <c r="G694" s="367"/>
      <c r="H694" s="422"/>
      <c r="I694" s="450"/>
    </row>
    <row r="695" spans="1:9" ht="12.75" customHeight="1">
      <c r="A695" s="370"/>
      <c r="B695" s="371" t="s">
        <v>120</v>
      </c>
      <c r="C695" s="298">
        <v>4000</v>
      </c>
      <c r="D695" s="298">
        <v>5200</v>
      </c>
      <c r="E695" s="298">
        <v>5200</v>
      </c>
      <c r="F695" s="298">
        <v>2700</v>
      </c>
      <c r="G695" s="298">
        <v>2700</v>
      </c>
      <c r="H695" s="744">
        <f>SUM(G695/F695)</f>
        <v>1</v>
      </c>
      <c r="I695" s="450"/>
    </row>
    <row r="696" spans="1:9" ht="12.75" customHeight="1">
      <c r="A696" s="370"/>
      <c r="B696" s="182" t="s">
        <v>314</v>
      </c>
      <c r="C696" s="298">
        <v>1600</v>
      </c>
      <c r="D696" s="298">
        <v>2891</v>
      </c>
      <c r="E696" s="298">
        <v>2891</v>
      </c>
      <c r="F696" s="298">
        <v>2891</v>
      </c>
      <c r="G696" s="298">
        <v>2891</v>
      </c>
      <c r="H696" s="744">
        <f>SUM(G696/F696)</f>
        <v>1</v>
      </c>
      <c r="I696" s="578"/>
    </row>
    <row r="697" spans="1:9" ht="12.75" customHeight="1">
      <c r="A697" s="370"/>
      <c r="B697" s="372" t="s">
        <v>299</v>
      </c>
      <c r="C697" s="298">
        <v>3400</v>
      </c>
      <c r="D697" s="298">
        <v>18227</v>
      </c>
      <c r="E697" s="298">
        <v>20227</v>
      </c>
      <c r="F697" s="298">
        <v>22727</v>
      </c>
      <c r="G697" s="298">
        <v>22727</v>
      </c>
      <c r="H697" s="744">
        <f>SUM(G697/F697)</f>
        <v>1</v>
      </c>
      <c r="I697" s="465"/>
    </row>
    <row r="698" spans="1:9" ht="12.75" customHeight="1">
      <c r="A698" s="370"/>
      <c r="B698" s="299" t="s">
        <v>125</v>
      </c>
      <c r="C698" s="298"/>
      <c r="D698" s="298"/>
      <c r="E698" s="298"/>
      <c r="F698" s="298"/>
      <c r="G698" s="298"/>
      <c r="H698" s="744"/>
      <c r="I698" s="450"/>
    </row>
    <row r="699" spans="1:9" ht="12.75" customHeight="1">
      <c r="A699" s="370"/>
      <c r="B699" s="299" t="s">
        <v>308</v>
      </c>
      <c r="C699" s="298"/>
      <c r="D699" s="298"/>
      <c r="E699" s="298"/>
      <c r="F699" s="298"/>
      <c r="G699" s="298"/>
      <c r="H699" s="422"/>
      <c r="I699" s="450"/>
    </row>
    <row r="700" spans="1:9" ht="12.75" customHeight="1" thickBot="1">
      <c r="A700" s="370"/>
      <c r="B700" s="434" t="s">
        <v>93</v>
      </c>
      <c r="C700" s="773"/>
      <c r="D700" s="773"/>
      <c r="E700" s="773"/>
      <c r="F700" s="773"/>
      <c r="G700" s="773"/>
      <c r="H700" s="1182"/>
      <c r="I700" s="468"/>
    </row>
    <row r="701" spans="1:9" ht="12.75" customHeight="1" thickBot="1">
      <c r="A701" s="382"/>
      <c r="B701" s="438" t="s">
        <v>142</v>
      </c>
      <c r="C701" s="377">
        <f>SUM(C695:C700)</f>
        <v>9000</v>
      </c>
      <c r="D701" s="377">
        <f>SUM(D695:D700)</f>
        <v>26318</v>
      </c>
      <c r="E701" s="377">
        <f>SUM(E695:E700)</f>
        <v>28318</v>
      </c>
      <c r="F701" s="377">
        <f>SUM(F695:F700)</f>
        <v>28318</v>
      </c>
      <c r="G701" s="377">
        <f>SUM(G695:G700)</f>
        <v>28318</v>
      </c>
      <c r="H701" s="1185">
        <f>SUM(G701/F701)</f>
        <v>1</v>
      </c>
      <c r="I701" s="454"/>
    </row>
    <row r="702" spans="1:9" ht="12.75" customHeight="1">
      <c r="A702" s="448">
        <v>3425</v>
      </c>
      <c r="B702" s="425" t="s">
        <v>44</v>
      </c>
      <c r="C702" s="426"/>
      <c r="D702" s="426"/>
      <c r="E702" s="426"/>
      <c r="F702" s="426"/>
      <c r="G702" s="426"/>
      <c r="H702" s="422"/>
      <c r="I702" s="471"/>
    </row>
    <row r="703" spans="1:9" ht="12.75" customHeight="1">
      <c r="A703" s="444"/>
      <c r="B703" s="429" t="s">
        <v>120</v>
      </c>
      <c r="C703" s="443"/>
      <c r="D703" s="443"/>
      <c r="E703" s="443"/>
      <c r="F703" s="443"/>
      <c r="G703" s="443"/>
      <c r="H703" s="422"/>
      <c r="I703" s="471"/>
    </row>
    <row r="704" spans="1:9" ht="12.75" customHeight="1">
      <c r="A704" s="444"/>
      <c r="B704" s="431" t="s">
        <v>314</v>
      </c>
      <c r="C704" s="443"/>
      <c r="D704" s="443"/>
      <c r="E704" s="443"/>
      <c r="F704" s="443"/>
      <c r="G704" s="443"/>
      <c r="H704" s="422"/>
      <c r="I704" s="578"/>
    </row>
    <row r="705" spans="1:9" ht="12.75" customHeight="1">
      <c r="A705" s="444"/>
      <c r="B705" s="432" t="s">
        <v>299</v>
      </c>
      <c r="C705" s="443">
        <v>5000</v>
      </c>
      <c r="D705" s="443">
        <v>8564</v>
      </c>
      <c r="E705" s="443">
        <v>9814</v>
      </c>
      <c r="F705" s="443">
        <v>9814</v>
      </c>
      <c r="G705" s="443">
        <v>9814</v>
      </c>
      <c r="H705" s="744">
        <f>SUM(G705/F705)</f>
        <v>1</v>
      </c>
      <c r="I705" s="465"/>
    </row>
    <row r="706" spans="1:9" ht="12.75" customHeight="1">
      <c r="A706" s="444"/>
      <c r="B706" s="433" t="s">
        <v>125</v>
      </c>
      <c r="C706" s="443"/>
      <c r="D706" s="443"/>
      <c r="E706" s="443"/>
      <c r="F706" s="443"/>
      <c r="G706" s="443"/>
      <c r="H706" s="422"/>
      <c r="I706" s="578"/>
    </row>
    <row r="707" spans="1:9" ht="12.75" customHeight="1">
      <c r="A707" s="444"/>
      <c r="B707" s="433" t="s">
        <v>308</v>
      </c>
      <c r="C707" s="443"/>
      <c r="D707" s="443"/>
      <c r="E707" s="443"/>
      <c r="F707" s="443"/>
      <c r="G707" s="443"/>
      <c r="H707" s="422"/>
      <c r="I707" s="471"/>
    </row>
    <row r="708" spans="1:9" ht="12.75" customHeight="1" thickBot="1">
      <c r="A708" s="444"/>
      <c r="B708" s="434" t="s">
        <v>93</v>
      </c>
      <c r="C708" s="774"/>
      <c r="D708" s="774"/>
      <c r="E708" s="774"/>
      <c r="F708" s="774"/>
      <c r="G708" s="774"/>
      <c r="H708" s="1182"/>
      <c r="I708" s="499"/>
    </row>
    <row r="709" spans="1:9" ht="12.75" customHeight="1" thickBot="1">
      <c r="A709" s="446"/>
      <c r="B709" s="438" t="s">
        <v>142</v>
      </c>
      <c r="C709" s="761">
        <f>SUM(C703:C708)</f>
        <v>5000</v>
      </c>
      <c r="D709" s="761">
        <f>SUM(D703:D708)</f>
        <v>8564</v>
      </c>
      <c r="E709" s="761">
        <f>SUM(E703:E708)</f>
        <v>9814</v>
      </c>
      <c r="F709" s="761">
        <f>SUM(F703:F708)</f>
        <v>9814</v>
      </c>
      <c r="G709" s="761">
        <f>SUM(G703:G708)</f>
        <v>9814</v>
      </c>
      <c r="H709" s="1185">
        <f>SUM(G709/F709)</f>
        <v>1</v>
      </c>
      <c r="I709" s="500"/>
    </row>
    <row r="710" spans="1:9" ht="12.75" customHeight="1">
      <c r="A710" s="448">
        <v>3426</v>
      </c>
      <c r="B710" s="425" t="s">
        <v>379</v>
      </c>
      <c r="C710" s="426"/>
      <c r="D710" s="426"/>
      <c r="E710" s="426"/>
      <c r="F710" s="426"/>
      <c r="G710" s="426"/>
      <c r="H710" s="422"/>
      <c r="I710" s="471"/>
    </row>
    <row r="711" spans="1:9" ht="12.75" customHeight="1">
      <c r="A711" s="444"/>
      <c r="B711" s="429" t="s">
        <v>120</v>
      </c>
      <c r="C711" s="443">
        <v>10640</v>
      </c>
      <c r="D711" s="443">
        <v>11924</v>
      </c>
      <c r="E711" s="443">
        <v>11924</v>
      </c>
      <c r="F711" s="443">
        <v>11924</v>
      </c>
      <c r="G711" s="443">
        <v>11924</v>
      </c>
      <c r="H711" s="744">
        <f>SUM(G711/F711)</f>
        <v>1</v>
      </c>
      <c r="I711" s="578"/>
    </row>
    <row r="712" spans="1:9" ht="12.75" customHeight="1">
      <c r="A712" s="444"/>
      <c r="B712" s="431" t="s">
        <v>314</v>
      </c>
      <c r="C712" s="443">
        <v>2075</v>
      </c>
      <c r="D712" s="443">
        <v>2442</v>
      </c>
      <c r="E712" s="443">
        <v>2442</v>
      </c>
      <c r="F712" s="443">
        <v>2442</v>
      </c>
      <c r="G712" s="443">
        <v>2442</v>
      </c>
      <c r="H712" s="744">
        <f>SUM(G712/F712)</f>
        <v>1</v>
      </c>
      <c r="I712" s="578"/>
    </row>
    <row r="713" spans="1:9" ht="12.75" customHeight="1">
      <c r="A713" s="444"/>
      <c r="B713" s="432" t="s">
        <v>299</v>
      </c>
      <c r="C713" s="443">
        <v>49207</v>
      </c>
      <c r="D713" s="443">
        <v>58997</v>
      </c>
      <c r="E713" s="443">
        <v>58997</v>
      </c>
      <c r="F713" s="443">
        <v>58997</v>
      </c>
      <c r="G713" s="443">
        <v>58997</v>
      </c>
      <c r="H713" s="744">
        <f>SUM(G713/F713)</f>
        <v>1</v>
      </c>
      <c r="I713" s="465"/>
    </row>
    <row r="714" spans="1:9" ht="12.75" customHeight="1">
      <c r="A714" s="444"/>
      <c r="B714" s="433" t="s">
        <v>125</v>
      </c>
      <c r="C714" s="443"/>
      <c r="D714" s="443"/>
      <c r="E714" s="443"/>
      <c r="F714" s="443"/>
      <c r="G714" s="443"/>
      <c r="H714" s="422"/>
      <c r="I714" s="450"/>
    </row>
    <row r="715" spans="1:9" ht="12.75" customHeight="1">
      <c r="A715" s="444"/>
      <c r="B715" s="433" t="s">
        <v>308</v>
      </c>
      <c r="C715" s="443"/>
      <c r="D715" s="443"/>
      <c r="E715" s="443"/>
      <c r="F715" s="443"/>
      <c r="G715" s="443"/>
      <c r="H715" s="422"/>
      <c r="I715" s="471"/>
    </row>
    <row r="716" spans="1:9" ht="12.75" customHeight="1" thickBot="1">
      <c r="A716" s="444"/>
      <c r="B716" s="434" t="s">
        <v>93</v>
      </c>
      <c r="C716" s="774"/>
      <c r="D716" s="774"/>
      <c r="E716" s="774"/>
      <c r="F716" s="774"/>
      <c r="G716" s="774"/>
      <c r="H716" s="1182"/>
      <c r="I716" s="501"/>
    </row>
    <row r="717" spans="1:9" ht="12.75" customHeight="1" thickBot="1">
      <c r="A717" s="446"/>
      <c r="B717" s="438" t="s">
        <v>142</v>
      </c>
      <c r="C717" s="761">
        <f>SUM(C711:C716)</f>
        <v>61922</v>
      </c>
      <c r="D717" s="761">
        <f>SUM(D711:D716)</f>
        <v>73363</v>
      </c>
      <c r="E717" s="761">
        <f>SUM(E711:E716)</f>
        <v>73363</v>
      </c>
      <c r="F717" s="761">
        <f>SUM(F711:F716)</f>
        <v>73363</v>
      </c>
      <c r="G717" s="761">
        <f>SUM(G711:G716)</f>
        <v>73363</v>
      </c>
      <c r="H717" s="1185">
        <f>SUM(G717/F717)</f>
        <v>1</v>
      </c>
      <c r="I717" s="500"/>
    </row>
    <row r="718" spans="1:9" ht="12.75" customHeight="1">
      <c r="A718" s="448">
        <v>3427</v>
      </c>
      <c r="B718" s="425" t="s">
        <v>45</v>
      </c>
      <c r="C718" s="426"/>
      <c r="D718" s="426"/>
      <c r="E718" s="426"/>
      <c r="F718" s="426"/>
      <c r="G718" s="426"/>
      <c r="H718" s="422"/>
      <c r="I718" s="471"/>
    </row>
    <row r="719" spans="1:9" ht="12.75" customHeight="1">
      <c r="A719" s="444"/>
      <c r="B719" s="429" t="s">
        <v>120</v>
      </c>
      <c r="C719" s="443">
        <v>6240</v>
      </c>
      <c r="D719" s="443">
        <v>6390</v>
      </c>
      <c r="E719" s="443">
        <v>6390</v>
      </c>
      <c r="F719" s="443">
        <v>6910</v>
      </c>
      <c r="G719" s="443">
        <v>6910</v>
      </c>
      <c r="H719" s="744">
        <f>SUM(G719/F719)</f>
        <v>1</v>
      </c>
      <c r="I719" s="471"/>
    </row>
    <row r="720" spans="1:9" ht="12.75" customHeight="1">
      <c r="A720" s="444"/>
      <c r="B720" s="431" t="s">
        <v>314</v>
      </c>
      <c r="C720" s="443">
        <v>1230</v>
      </c>
      <c r="D720" s="443">
        <v>1333</v>
      </c>
      <c r="E720" s="443">
        <v>1333</v>
      </c>
      <c r="F720" s="443">
        <v>1333</v>
      </c>
      <c r="G720" s="443">
        <v>1333</v>
      </c>
      <c r="H720" s="744">
        <f>SUM(G720/F720)</f>
        <v>1</v>
      </c>
      <c r="I720" s="578"/>
    </row>
    <row r="721" spans="1:9" ht="12.75" customHeight="1">
      <c r="A721" s="444"/>
      <c r="B721" s="432" t="s">
        <v>299</v>
      </c>
      <c r="C721" s="443">
        <v>15530</v>
      </c>
      <c r="D721" s="443">
        <v>16810</v>
      </c>
      <c r="E721" s="443">
        <v>16810</v>
      </c>
      <c r="F721" s="443">
        <v>16290</v>
      </c>
      <c r="G721" s="443">
        <v>16290</v>
      </c>
      <c r="H721" s="744">
        <f>SUM(G721/F721)</f>
        <v>1</v>
      </c>
      <c r="I721" s="465"/>
    </row>
    <row r="722" spans="1:9" ht="12.75" customHeight="1">
      <c r="A722" s="444"/>
      <c r="B722" s="433" t="s">
        <v>125</v>
      </c>
      <c r="C722" s="443"/>
      <c r="D722" s="443"/>
      <c r="E722" s="443"/>
      <c r="F722" s="443"/>
      <c r="G722" s="443"/>
      <c r="H722" s="744"/>
      <c r="I722" s="450"/>
    </row>
    <row r="723" spans="1:9" ht="12.75" customHeight="1">
      <c r="A723" s="444"/>
      <c r="B723" s="433" t="s">
        <v>308</v>
      </c>
      <c r="C723" s="443"/>
      <c r="D723" s="443"/>
      <c r="E723" s="443"/>
      <c r="F723" s="443"/>
      <c r="G723" s="443"/>
      <c r="H723" s="422"/>
      <c r="I723" s="471"/>
    </row>
    <row r="724" spans="1:9" ht="12.75" customHeight="1" thickBot="1">
      <c r="A724" s="444"/>
      <c r="B724" s="434" t="s">
        <v>93</v>
      </c>
      <c r="C724" s="774"/>
      <c r="D724" s="774"/>
      <c r="E724" s="774"/>
      <c r="F724" s="774"/>
      <c r="G724" s="774"/>
      <c r="H724" s="1182"/>
      <c r="I724" s="499"/>
    </row>
    <row r="725" spans="1:9" ht="12.75" customHeight="1" thickBot="1">
      <c r="A725" s="446"/>
      <c r="B725" s="438" t="s">
        <v>142</v>
      </c>
      <c r="C725" s="761">
        <f>SUM(C719:C724)</f>
        <v>23000</v>
      </c>
      <c r="D725" s="761">
        <f>SUM(D719:D724)</f>
        <v>24533</v>
      </c>
      <c r="E725" s="761">
        <f>SUM(E719:E724)</f>
        <v>24533</v>
      </c>
      <c r="F725" s="761">
        <f>SUM(F719:F724)</f>
        <v>24533</v>
      </c>
      <c r="G725" s="761">
        <f>SUM(G719:G724)</f>
        <v>24533</v>
      </c>
      <c r="H725" s="1185">
        <f>SUM(G725/F725)</f>
        <v>1</v>
      </c>
      <c r="I725" s="500"/>
    </row>
    <row r="726" spans="1:9" ht="12.75" customHeight="1">
      <c r="A726" s="74">
        <v>3428</v>
      </c>
      <c r="B726" s="461" t="s">
        <v>7</v>
      </c>
      <c r="C726" s="367"/>
      <c r="D726" s="367"/>
      <c r="E726" s="367"/>
      <c r="F726" s="367"/>
      <c r="G726" s="367"/>
      <c r="H726" s="422"/>
      <c r="I726" s="450"/>
    </row>
    <row r="727" spans="1:9" ht="12.75" customHeight="1">
      <c r="A727" s="370"/>
      <c r="B727" s="371" t="s">
        <v>120</v>
      </c>
      <c r="C727" s="298"/>
      <c r="D727" s="298"/>
      <c r="E727" s="298"/>
      <c r="F727" s="298"/>
      <c r="G727" s="298"/>
      <c r="H727" s="422"/>
      <c r="I727" s="450"/>
    </row>
    <row r="728" spans="1:9" ht="12.75" customHeight="1">
      <c r="A728" s="370"/>
      <c r="B728" s="182" t="s">
        <v>314</v>
      </c>
      <c r="C728" s="298"/>
      <c r="D728" s="298"/>
      <c r="E728" s="298"/>
      <c r="F728" s="298"/>
      <c r="G728" s="298"/>
      <c r="H728" s="422"/>
      <c r="I728" s="450"/>
    </row>
    <row r="729" spans="1:9" ht="12.75" customHeight="1">
      <c r="A729" s="370"/>
      <c r="B729" s="372" t="s">
        <v>299</v>
      </c>
      <c r="C729" s="298">
        <v>3000</v>
      </c>
      <c r="D729" s="298">
        <v>3000</v>
      </c>
      <c r="E729" s="298">
        <v>3000</v>
      </c>
      <c r="F729" s="298">
        <v>3000</v>
      </c>
      <c r="G729" s="298">
        <v>3000</v>
      </c>
      <c r="H729" s="1186">
        <f>SUM(G729/F729)</f>
        <v>1</v>
      </c>
      <c r="I729" s="579"/>
    </row>
    <row r="730" spans="1:9" ht="12.75" customHeight="1">
      <c r="A730" s="370"/>
      <c r="B730" s="299" t="s">
        <v>125</v>
      </c>
      <c r="C730" s="298"/>
      <c r="D730" s="298"/>
      <c r="E730" s="298"/>
      <c r="F730" s="298"/>
      <c r="G730" s="298"/>
      <c r="H730" s="422"/>
      <c r="I730" s="578"/>
    </row>
    <row r="731" spans="1:9" ht="12.75" customHeight="1">
      <c r="A731" s="370"/>
      <c r="B731" s="299" t="s">
        <v>308</v>
      </c>
      <c r="C731" s="298"/>
      <c r="D731" s="298"/>
      <c r="E731" s="298"/>
      <c r="F731" s="298"/>
      <c r="G731" s="298"/>
      <c r="H731" s="422"/>
      <c r="I731" s="450"/>
    </row>
    <row r="732" spans="1:9" ht="12.75" customHeight="1" thickBot="1">
      <c r="A732" s="370"/>
      <c r="B732" s="434" t="s">
        <v>93</v>
      </c>
      <c r="C732" s="375"/>
      <c r="D732" s="375"/>
      <c r="E732" s="375"/>
      <c r="F732" s="375"/>
      <c r="G732" s="375"/>
      <c r="H732" s="1182"/>
      <c r="I732" s="468"/>
    </row>
    <row r="733" spans="1:9" ht="12.75" customHeight="1" thickBot="1">
      <c r="A733" s="382"/>
      <c r="B733" s="438" t="s">
        <v>142</v>
      </c>
      <c r="C733" s="377">
        <f>SUM(C727:C732)</f>
        <v>3000</v>
      </c>
      <c r="D733" s="377">
        <f>SUM(D727:D732)</f>
        <v>3000</v>
      </c>
      <c r="E733" s="377">
        <f>SUM(E727:E732)</f>
        <v>3000</v>
      </c>
      <c r="F733" s="377">
        <f>SUM(F727:F732)</f>
        <v>3000</v>
      </c>
      <c r="G733" s="377">
        <f>SUM(G727:G732)</f>
        <v>3000</v>
      </c>
      <c r="H733" s="1185">
        <f>SUM(G733/F733)</f>
        <v>1</v>
      </c>
      <c r="I733" s="454"/>
    </row>
    <row r="734" spans="1:9" ht="12.75" customHeight="1">
      <c r="A734" s="448">
        <v>3429</v>
      </c>
      <c r="B734" s="425" t="s">
        <v>31</v>
      </c>
      <c r="C734" s="426"/>
      <c r="D734" s="426"/>
      <c r="E734" s="426"/>
      <c r="F734" s="426"/>
      <c r="G734" s="426"/>
      <c r="H734" s="422"/>
      <c r="I734" s="471"/>
    </row>
    <row r="735" spans="1:9" ht="12.75" customHeight="1">
      <c r="A735" s="444"/>
      <c r="B735" s="429" t="s">
        <v>120</v>
      </c>
      <c r="C735" s="443"/>
      <c r="D735" s="443"/>
      <c r="E735" s="443"/>
      <c r="F735" s="443"/>
      <c r="G735" s="443"/>
      <c r="H735" s="422"/>
      <c r="I735" s="471"/>
    </row>
    <row r="736" spans="1:9" ht="12.75" customHeight="1">
      <c r="A736" s="444"/>
      <c r="B736" s="431" t="s">
        <v>314</v>
      </c>
      <c r="C736" s="443"/>
      <c r="D736" s="443"/>
      <c r="E736" s="443"/>
      <c r="F736" s="443"/>
      <c r="G736" s="443"/>
      <c r="H736" s="422"/>
      <c r="I736" s="471"/>
    </row>
    <row r="737" spans="1:9" ht="12.75" customHeight="1">
      <c r="A737" s="444"/>
      <c r="B737" s="432" t="s">
        <v>299</v>
      </c>
      <c r="C737" s="443">
        <v>2500</v>
      </c>
      <c r="D737" s="443">
        <v>2500</v>
      </c>
      <c r="E737" s="443">
        <v>2500</v>
      </c>
      <c r="F737" s="443">
        <v>2500</v>
      </c>
      <c r="G737" s="443">
        <v>2500</v>
      </c>
      <c r="H737" s="744">
        <f>SUM(G737/F737)</f>
        <v>1</v>
      </c>
      <c r="I737" s="579"/>
    </row>
    <row r="738" spans="1:9" ht="12.75" customHeight="1">
      <c r="A738" s="444"/>
      <c r="B738" s="433" t="s">
        <v>125</v>
      </c>
      <c r="C738" s="443"/>
      <c r="D738" s="443"/>
      <c r="E738" s="443"/>
      <c r="F738" s="443"/>
      <c r="G738" s="443"/>
      <c r="H738" s="422"/>
      <c r="I738" s="450"/>
    </row>
    <row r="739" spans="1:9" ht="12.75" customHeight="1">
      <c r="A739" s="444"/>
      <c r="B739" s="433" t="s">
        <v>308</v>
      </c>
      <c r="C739" s="443"/>
      <c r="D739" s="443"/>
      <c r="E739" s="443"/>
      <c r="F739" s="443"/>
      <c r="G739" s="443"/>
      <c r="H739" s="422"/>
      <c r="I739" s="471"/>
    </row>
    <row r="740" spans="1:9" ht="12.75" customHeight="1" thickBot="1">
      <c r="A740" s="444"/>
      <c r="B740" s="434" t="s">
        <v>93</v>
      </c>
      <c r="C740" s="774"/>
      <c r="D740" s="774"/>
      <c r="E740" s="774"/>
      <c r="F740" s="774"/>
      <c r="G740" s="774"/>
      <c r="H740" s="1182"/>
      <c r="I740" s="499"/>
    </row>
    <row r="741" spans="1:9" ht="12.75" customHeight="1" thickBot="1">
      <c r="A741" s="446"/>
      <c r="B741" s="438" t="s">
        <v>142</v>
      </c>
      <c r="C741" s="761">
        <f>SUM(C735:C740)</f>
        <v>2500</v>
      </c>
      <c r="D741" s="761">
        <f>SUM(D735:D740)</f>
        <v>2500</v>
      </c>
      <c r="E741" s="761">
        <f>SUM(E735:E740)</f>
        <v>2500</v>
      </c>
      <c r="F741" s="761">
        <f>SUM(F735:F740)</f>
        <v>2500</v>
      </c>
      <c r="G741" s="761">
        <f>SUM(G735:G740)</f>
        <v>2500</v>
      </c>
      <c r="H741" s="1185">
        <f>SUM(G741/F741)</f>
        <v>1</v>
      </c>
      <c r="I741" s="500"/>
    </row>
    <row r="742" spans="1:9" ht="12.75" customHeight="1">
      <c r="A742" s="448">
        <v>3431</v>
      </c>
      <c r="B742" s="425" t="s">
        <v>180</v>
      </c>
      <c r="C742" s="426"/>
      <c r="D742" s="426"/>
      <c r="E742" s="426"/>
      <c r="F742" s="426"/>
      <c r="G742" s="426"/>
      <c r="H742" s="422"/>
      <c r="I742" s="471"/>
    </row>
    <row r="743" spans="1:9" ht="12.75" customHeight="1">
      <c r="A743" s="444"/>
      <c r="B743" s="429" t="s">
        <v>120</v>
      </c>
      <c r="C743" s="443"/>
      <c r="D743" s="443"/>
      <c r="E743" s="443"/>
      <c r="F743" s="443"/>
      <c r="G743" s="443"/>
      <c r="H743" s="422"/>
      <c r="I743" s="471"/>
    </row>
    <row r="744" spans="1:9" ht="12.75" customHeight="1">
      <c r="A744" s="444"/>
      <c r="B744" s="431" t="s">
        <v>314</v>
      </c>
      <c r="C744" s="443"/>
      <c r="D744" s="443"/>
      <c r="E744" s="443"/>
      <c r="F744" s="443"/>
      <c r="G744" s="443"/>
      <c r="H744" s="422"/>
      <c r="I744" s="471"/>
    </row>
    <row r="745" spans="1:9" ht="12.75" customHeight="1">
      <c r="A745" s="444"/>
      <c r="B745" s="432" t="s">
        <v>299</v>
      </c>
      <c r="C745" s="443">
        <v>5000</v>
      </c>
      <c r="D745" s="443">
        <v>5000</v>
      </c>
      <c r="E745" s="443">
        <v>5000</v>
      </c>
      <c r="F745" s="443">
        <v>5000</v>
      </c>
      <c r="G745" s="443">
        <v>5000</v>
      </c>
      <c r="H745" s="744">
        <f>SUM(G745/F745)</f>
        <v>1</v>
      </c>
      <c r="I745" s="579"/>
    </row>
    <row r="746" spans="1:9" ht="12.75" customHeight="1">
      <c r="A746" s="444"/>
      <c r="B746" s="433" t="s">
        <v>125</v>
      </c>
      <c r="C746" s="443"/>
      <c r="D746" s="443"/>
      <c r="E746" s="443"/>
      <c r="F746" s="443"/>
      <c r="G746" s="443"/>
      <c r="H746" s="422"/>
      <c r="I746" s="471"/>
    </row>
    <row r="747" spans="1:9" ht="12.75" customHeight="1">
      <c r="A747" s="444"/>
      <c r="B747" s="433" t="s">
        <v>308</v>
      </c>
      <c r="C747" s="443"/>
      <c r="D747" s="443"/>
      <c r="E747" s="443"/>
      <c r="F747" s="443"/>
      <c r="G747" s="443"/>
      <c r="H747" s="422"/>
      <c r="I747" s="471"/>
    </row>
    <row r="748" spans="1:9" ht="12.75" customHeight="1" thickBot="1">
      <c r="A748" s="444"/>
      <c r="B748" s="434" t="s">
        <v>93</v>
      </c>
      <c r="C748" s="774"/>
      <c r="D748" s="774"/>
      <c r="E748" s="774"/>
      <c r="F748" s="774"/>
      <c r="G748" s="774"/>
      <c r="H748" s="1182"/>
      <c r="I748" s="499"/>
    </row>
    <row r="749" spans="1:9" ht="12.75" customHeight="1" thickBot="1">
      <c r="A749" s="446"/>
      <c r="B749" s="438" t="s">
        <v>142</v>
      </c>
      <c r="C749" s="761">
        <f>SUM(C743:C748)</f>
        <v>5000</v>
      </c>
      <c r="D749" s="761">
        <f>SUM(D743:D748)</f>
        <v>5000</v>
      </c>
      <c r="E749" s="761">
        <f>SUM(E743:E748)</f>
        <v>5000</v>
      </c>
      <c r="F749" s="761">
        <f>SUM(F743:F748)</f>
        <v>5000</v>
      </c>
      <c r="G749" s="761">
        <f>SUM(G743:G748)</f>
        <v>5000</v>
      </c>
      <c r="H749" s="1185">
        <f>SUM(G749/F749)</f>
        <v>1</v>
      </c>
      <c r="I749" s="500"/>
    </row>
    <row r="750" spans="1:9" ht="12.75" customHeight="1">
      <c r="A750" s="448">
        <v>3432</v>
      </c>
      <c r="B750" s="425" t="s">
        <v>398</v>
      </c>
      <c r="C750" s="426"/>
      <c r="D750" s="426"/>
      <c r="E750" s="426"/>
      <c r="F750" s="426"/>
      <c r="G750" s="426"/>
      <c r="H750" s="422"/>
      <c r="I750" s="471"/>
    </row>
    <row r="751" spans="1:9" ht="12.75" customHeight="1">
      <c r="A751" s="444"/>
      <c r="B751" s="429" t="s">
        <v>120</v>
      </c>
      <c r="C751" s="443"/>
      <c r="D751" s="443"/>
      <c r="E751" s="443"/>
      <c r="F751" s="443"/>
      <c r="G751" s="443"/>
      <c r="H751" s="422"/>
      <c r="I751" s="471"/>
    </row>
    <row r="752" spans="1:9" ht="12.75" customHeight="1">
      <c r="A752" s="444"/>
      <c r="B752" s="431" t="s">
        <v>314</v>
      </c>
      <c r="C752" s="443"/>
      <c r="D752" s="443"/>
      <c r="E752" s="443"/>
      <c r="F752" s="443"/>
      <c r="G752" s="443"/>
      <c r="H752" s="422"/>
      <c r="I752" s="579"/>
    </row>
    <row r="753" spans="1:9" ht="12.75" customHeight="1">
      <c r="A753" s="444"/>
      <c r="B753" s="432" t="s">
        <v>299</v>
      </c>
      <c r="C753" s="443">
        <v>5000</v>
      </c>
      <c r="D753" s="443">
        <v>5000</v>
      </c>
      <c r="E753" s="443">
        <v>5000</v>
      </c>
      <c r="F753" s="443">
        <v>5000</v>
      </c>
      <c r="G753" s="443">
        <v>5000</v>
      </c>
      <c r="H753" s="744">
        <f>SUM(G753/F753)</f>
        <v>1</v>
      </c>
      <c r="I753" s="579"/>
    </row>
    <row r="754" spans="1:9" ht="12.75" customHeight="1">
      <c r="A754" s="444"/>
      <c r="B754" s="433" t="s">
        <v>125</v>
      </c>
      <c r="C754" s="443"/>
      <c r="D754" s="443"/>
      <c r="E754" s="443"/>
      <c r="F754" s="443"/>
      <c r="G754" s="443"/>
      <c r="H754" s="422"/>
      <c r="I754" s="450"/>
    </row>
    <row r="755" spans="1:9" ht="12.75" customHeight="1">
      <c r="A755" s="444"/>
      <c r="B755" s="433" t="s">
        <v>308</v>
      </c>
      <c r="C755" s="443"/>
      <c r="D755" s="443"/>
      <c r="E755" s="443"/>
      <c r="F755" s="443"/>
      <c r="G755" s="443"/>
      <c r="H755" s="422"/>
      <c r="I755" s="471"/>
    </row>
    <row r="756" spans="1:9" ht="12.75" customHeight="1" thickBot="1">
      <c r="A756" s="444"/>
      <c r="B756" s="434" t="s">
        <v>93</v>
      </c>
      <c r="C756" s="774"/>
      <c r="D756" s="774"/>
      <c r="E756" s="774"/>
      <c r="F756" s="774"/>
      <c r="G756" s="774"/>
      <c r="H756" s="1182"/>
      <c r="I756" s="499"/>
    </row>
    <row r="757" spans="1:9" ht="12.75" customHeight="1" thickBot="1">
      <c r="A757" s="446"/>
      <c r="B757" s="438" t="s">
        <v>142</v>
      </c>
      <c r="C757" s="761">
        <f>SUM(C751:C756)</f>
        <v>5000</v>
      </c>
      <c r="D757" s="761">
        <f>SUM(D751:D756)</f>
        <v>5000</v>
      </c>
      <c r="E757" s="761">
        <f>SUM(E751:E756)</f>
        <v>5000</v>
      </c>
      <c r="F757" s="761">
        <f>SUM(F751:F756)</f>
        <v>5000</v>
      </c>
      <c r="G757" s="761">
        <f>SUM(G751:G756)</f>
        <v>5000</v>
      </c>
      <c r="H757" s="1185">
        <f>SUM(G757/F757)</f>
        <v>1</v>
      </c>
      <c r="I757" s="500"/>
    </row>
    <row r="758" spans="1:9" ht="12.75" customHeight="1">
      <c r="A758" s="448">
        <v>3433</v>
      </c>
      <c r="B758" s="425" t="s">
        <v>521</v>
      </c>
      <c r="C758" s="426"/>
      <c r="D758" s="426"/>
      <c r="E758" s="426"/>
      <c r="F758" s="426"/>
      <c r="G758" s="426"/>
      <c r="H758" s="422"/>
      <c r="I758" s="471"/>
    </row>
    <row r="759" spans="1:9" ht="12.75" customHeight="1">
      <c r="A759" s="444"/>
      <c r="B759" s="429" t="s">
        <v>120</v>
      </c>
      <c r="C759" s="443"/>
      <c r="D759" s="443"/>
      <c r="E759" s="443"/>
      <c r="F759" s="443"/>
      <c r="G759" s="443"/>
      <c r="H759" s="422"/>
      <c r="I759" s="471"/>
    </row>
    <row r="760" spans="1:9" ht="12.75" customHeight="1">
      <c r="A760" s="444"/>
      <c r="B760" s="431" t="s">
        <v>314</v>
      </c>
      <c r="C760" s="443"/>
      <c r="D760" s="443"/>
      <c r="E760" s="443"/>
      <c r="F760" s="443"/>
      <c r="G760" s="443"/>
      <c r="H760" s="422"/>
      <c r="I760" s="471"/>
    </row>
    <row r="761" spans="1:9" ht="12.75" customHeight="1">
      <c r="A761" s="444"/>
      <c r="B761" s="432" t="s">
        <v>299</v>
      </c>
      <c r="C761" s="443">
        <v>3000</v>
      </c>
      <c r="D761" s="443">
        <v>3000</v>
      </c>
      <c r="E761" s="443">
        <v>3000</v>
      </c>
      <c r="F761" s="443">
        <v>3000</v>
      </c>
      <c r="G761" s="443">
        <v>3000</v>
      </c>
      <c r="H761" s="744">
        <f>SUM(G761/F761)</f>
        <v>1</v>
      </c>
      <c r="I761" s="579"/>
    </row>
    <row r="762" spans="1:9" ht="12.75" customHeight="1">
      <c r="A762" s="444"/>
      <c r="B762" s="433" t="s">
        <v>125</v>
      </c>
      <c r="C762" s="443"/>
      <c r="D762" s="443"/>
      <c r="E762" s="443"/>
      <c r="F762" s="443"/>
      <c r="G762" s="443"/>
      <c r="H762" s="422"/>
      <c r="I762" s="450"/>
    </row>
    <row r="763" spans="1:9" ht="12.75" customHeight="1">
      <c r="A763" s="444"/>
      <c r="B763" s="433" t="s">
        <v>308</v>
      </c>
      <c r="C763" s="443"/>
      <c r="D763" s="443"/>
      <c r="E763" s="443"/>
      <c r="F763" s="443"/>
      <c r="G763" s="443"/>
      <c r="H763" s="422"/>
      <c r="I763" s="471"/>
    </row>
    <row r="764" spans="1:9" ht="12.75" customHeight="1">
      <c r="A764" s="444"/>
      <c r="B764" s="433" t="s">
        <v>125</v>
      </c>
      <c r="C764" s="443"/>
      <c r="D764" s="443"/>
      <c r="E764" s="443"/>
      <c r="F764" s="443"/>
      <c r="G764" s="443"/>
      <c r="H764" s="422"/>
      <c r="I764" s="482"/>
    </row>
    <row r="765" spans="1:9" ht="12.75" customHeight="1" thickBot="1">
      <c r="A765" s="444"/>
      <c r="B765" s="434" t="s">
        <v>93</v>
      </c>
      <c r="C765" s="774"/>
      <c r="D765" s="774"/>
      <c r="E765" s="774"/>
      <c r="F765" s="774"/>
      <c r="G765" s="774"/>
      <c r="H765" s="1182"/>
      <c r="I765" s="499"/>
    </row>
    <row r="766" spans="1:9" ht="12.75" customHeight="1" thickBot="1">
      <c r="A766" s="446"/>
      <c r="B766" s="438" t="s">
        <v>142</v>
      </c>
      <c r="C766" s="761">
        <f>SUM(C759:C765)</f>
        <v>3000</v>
      </c>
      <c r="D766" s="761">
        <f>SUM(D759:D765)</f>
        <v>3000</v>
      </c>
      <c r="E766" s="761">
        <f>SUM(E759:E765)</f>
        <v>3000</v>
      </c>
      <c r="F766" s="761">
        <f>SUM(F759:F765)</f>
        <v>3000</v>
      </c>
      <c r="G766" s="761">
        <f>SUM(G759:G765)</f>
        <v>3000</v>
      </c>
      <c r="H766" s="1185">
        <f>SUM(G766/F766)</f>
        <v>1</v>
      </c>
      <c r="I766" s="500"/>
    </row>
    <row r="767" spans="1:9" ht="12.75" customHeight="1">
      <c r="A767" s="448">
        <v>3434</v>
      </c>
      <c r="B767" s="425" t="s">
        <v>399</v>
      </c>
      <c r="C767" s="426"/>
      <c r="D767" s="426"/>
      <c r="E767" s="426"/>
      <c r="F767" s="426"/>
      <c r="G767" s="426"/>
      <c r="H767" s="422"/>
      <c r="I767" s="471"/>
    </row>
    <row r="768" spans="1:9" ht="12.75" customHeight="1">
      <c r="A768" s="444"/>
      <c r="B768" s="429" t="s">
        <v>120</v>
      </c>
      <c r="C768" s="443"/>
      <c r="D768" s="443"/>
      <c r="E768" s="443"/>
      <c r="F768" s="443"/>
      <c r="G768" s="443"/>
      <c r="H768" s="422"/>
      <c r="I768" s="471"/>
    </row>
    <row r="769" spans="1:9" ht="12.75" customHeight="1">
      <c r="A769" s="444"/>
      <c r="B769" s="431" t="s">
        <v>314</v>
      </c>
      <c r="C769" s="443"/>
      <c r="D769" s="443"/>
      <c r="E769" s="443"/>
      <c r="F769" s="443"/>
      <c r="G769" s="443"/>
      <c r="H769" s="422"/>
      <c r="I769" s="579"/>
    </row>
    <row r="770" spans="1:9" ht="12.75" customHeight="1">
      <c r="A770" s="444"/>
      <c r="B770" s="432" t="s">
        <v>299</v>
      </c>
      <c r="C770" s="443">
        <v>3000</v>
      </c>
      <c r="D770" s="443">
        <v>3000</v>
      </c>
      <c r="E770" s="443">
        <v>3000</v>
      </c>
      <c r="F770" s="443">
        <v>3000</v>
      </c>
      <c r="G770" s="443">
        <v>3000</v>
      </c>
      <c r="H770" s="744">
        <f>SUM(G770/F770)</f>
        <v>1</v>
      </c>
      <c r="I770" s="579"/>
    </row>
    <row r="771" spans="1:9" ht="12.75" customHeight="1">
      <c r="A771" s="444"/>
      <c r="B771" s="433" t="s">
        <v>125</v>
      </c>
      <c r="C771" s="443"/>
      <c r="D771" s="443"/>
      <c r="E771" s="443"/>
      <c r="F771" s="443"/>
      <c r="G771" s="443"/>
      <c r="H771" s="422"/>
      <c r="I771" s="450"/>
    </row>
    <row r="772" spans="1:9" ht="12.75" customHeight="1">
      <c r="A772" s="444"/>
      <c r="B772" s="433" t="s">
        <v>308</v>
      </c>
      <c r="C772" s="443"/>
      <c r="D772" s="443"/>
      <c r="E772" s="443"/>
      <c r="F772" s="443"/>
      <c r="G772" s="443"/>
      <c r="H772" s="422"/>
      <c r="I772" s="471"/>
    </row>
    <row r="773" spans="1:9" ht="12.75" customHeight="1" thickBot="1">
      <c r="A773" s="444"/>
      <c r="B773" s="434" t="s">
        <v>93</v>
      </c>
      <c r="C773" s="774"/>
      <c r="D773" s="774"/>
      <c r="E773" s="774"/>
      <c r="F773" s="774"/>
      <c r="G773" s="774"/>
      <c r="H773" s="1182"/>
      <c r="I773" s="499"/>
    </row>
    <row r="774" spans="1:9" ht="12.75" customHeight="1" thickBot="1">
      <c r="A774" s="446"/>
      <c r="B774" s="438" t="s">
        <v>142</v>
      </c>
      <c r="C774" s="761">
        <f>SUM(C768:C773)</f>
        <v>3000</v>
      </c>
      <c r="D774" s="761">
        <f>SUM(D768:D773)</f>
        <v>3000</v>
      </c>
      <c r="E774" s="761">
        <f>SUM(E768:E773)</f>
        <v>3000</v>
      </c>
      <c r="F774" s="761">
        <f>SUM(F768:F773)</f>
        <v>3000</v>
      </c>
      <c r="G774" s="761">
        <f>SUM(G768:G773)</f>
        <v>3000</v>
      </c>
      <c r="H774" s="1185">
        <f>SUM(G774/F774)</f>
        <v>1</v>
      </c>
      <c r="I774" s="500"/>
    </row>
    <row r="775" spans="1:9" ht="12" customHeight="1">
      <c r="A775" s="448">
        <v>3435</v>
      </c>
      <c r="B775" s="458" t="s">
        <v>400</v>
      </c>
      <c r="C775" s="426"/>
      <c r="D775" s="426"/>
      <c r="E775" s="426"/>
      <c r="F775" s="426"/>
      <c r="G775" s="426"/>
      <c r="H775" s="422"/>
      <c r="I775" s="502"/>
    </row>
    <row r="776" spans="1:9" ht="12.75" customHeight="1">
      <c r="A776" s="448"/>
      <c r="B776" s="429" t="s">
        <v>120</v>
      </c>
      <c r="C776" s="426"/>
      <c r="D776" s="426"/>
      <c r="E776" s="426"/>
      <c r="F776" s="426"/>
      <c r="G776" s="426"/>
      <c r="H776" s="422"/>
      <c r="I776" s="503"/>
    </row>
    <row r="777" spans="1:9" ht="12.75" customHeight="1">
      <c r="A777" s="448"/>
      <c r="B777" s="431" t="s">
        <v>314</v>
      </c>
      <c r="C777" s="426"/>
      <c r="D777" s="426"/>
      <c r="E777" s="426"/>
      <c r="F777" s="426"/>
      <c r="G777" s="426"/>
      <c r="H777" s="422"/>
      <c r="I777" s="579"/>
    </row>
    <row r="778" spans="1:9" ht="12.75" customHeight="1">
      <c r="A778" s="448"/>
      <c r="B778" s="432" t="s">
        <v>299</v>
      </c>
      <c r="C778" s="443">
        <v>1500</v>
      </c>
      <c r="D778" s="443">
        <v>1500</v>
      </c>
      <c r="E778" s="443">
        <v>1500</v>
      </c>
      <c r="F778" s="443">
        <v>1500</v>
      </c>
      <c r="G778" s="443">
        <v>1500</v>
      </c>
      <c r="H778" s="744">
        <f>SUM(G778/F778)</f>
        <v>1</v>
      </c>
      <c r="I778" s="579"/>
    </row>
    <row r="779" spans="1:9" ht="12.75" customHeight="1">
      <c r="A779" s="448"/>
      <c r="B779" s="433" t="s">
        <v>125</v>
      </c>
      <c r="C779" s="443"/>
      <c r="D779" s="443"/>
      <c r="E779" s="443"/>
      <c r="F779" s="443"/>
      <c r="G779" s="443"/>
      <c r="H779" s="422"/>
      <c r="I779" s="482"/>
    </row>
    <row r="780" spans="1:9" ht="12.75" customHeight="1">
      <c r="A780" s="448"/>
      <c r="B780" s="433" t="s">
        <v>308</v>
      </c>
      <c r="C780" s="426"/>
      <c r="D780" s="426"/>
      <c r="E780" s="426"/>
      <c r="F780" s="426"/>
      <c r="G780" s="426"/>
      <c r="H780" s="422"/>
      <c r="I780" s="503"/>
    </row>
    <row r="781" spans="1:9" ht="14.25" customHeight="1" thickBot="1">
      <c r="A781" s="448"/>
      <c r="B781" s="434" t="s">
        <v>93</v>
      </c>
      <c r="C781" s="775"/>
      <c r="D781" s="775"/>
      <c r="E781" s="775"/>
      <c r="F781" s="775"/>
      <c r="G781" s="775"/>
      <c r="H781" s="1182"/>
      <c r="I781" s="503"/>
    </row>
    <row r="782" spans="1:9" ht="14.25" customHeight="1" thickBot="1">
      <c r="A782" s="446"/>
      <c r="B782" s="438" t="s">
        <v>142</v>
      </c>
      <c r="C782" s="761">
        <f>SUM(C776:C781)</f>
        <v>1500</v>
      </c>
      <c r="D782" s="761">
        <f>SUM(D776:D781)</f>
        <v>1500</v>
      </c>
      <c r="E782" s="761">
        <f>SUM(E776:E781)</f>
        <v>1500</v>
      </c>
      <c r="F782" s="761">
        <f>SUM(F776:F781)</f>
        <v>1500</v>
      </c>
      <c r="G782" s="761">
        <f>SUM(G776:G781)</f>
        <v>1500</v>
      </c>
      <c r="H782" s="1185">
        <f aca="true" t="shared" si="1" ref="H782:H812">SUM(G782/F782)</f>
        <v>1</v>
      </c>
      <c r="I782" s="500"/>
    </row>
    <row r="783" spans="1:9" ht="12.75" customHeight="1">
      <c r="A783" s="448">
        <v>3451</v>
      </c>
      <c r="B783" s="425" t="s">
        <v>140</v>
      </c>
      <c r="C783" s="426"/>
      <c r="D783" s="426"/>
      <c r="E783" s="426"/>
      <c r="F783" s="426"/>
      <c r="G783" s="426"/>
      <c r="H783" s="422"/>
      <c r="I783" s="482"/>
    </row>
    <row r="784" spans="1:9" ht="12.75" customHeight="1">
      <c r="A784" s="444"/>
      <c r="B784" s="429" t="s">
        <v>120</v>
      </c>
      <c r="C784" s="443"/>
      <c r="D784" s="443"/>
      <c r="E784" s="443"/>
      <c r="F784" s="443"/>
      <c r="G784" s="443"/>
      <c r="H784" s="422"/>
      <c r="I784" s="471"/>
    </row>
    <row r="785" spans="1:9" ht="12.75" customHeight="1">
      <c r="A785" s="444"/>
      <c r="B785" s="431" t="s">
        <v>314</v>
      </c>
      <c r="C785" s="443"/>
      <c r="D785" s="443"/>
      <c r="E785" s="443"/>
      <c r="F785" s="443"/>
      <c r="G785" s="443"/>
      <c r="H785" s="422"/>
      <c r="I785" s="470"/>
    </row>
    <row r="786" spans="1:9" ht="12.75" customHeight="1">
      <c r="A786" s="444"/>
      <c r="B786" s="432" t="s">
        <v>299</v>
      </c>
      <c r="C786" s="443">
        <v>1000</v>
      </c>
      <c r="D786" s="443">
        <v>1012</v>
      </c>
      <c r="E786" s="443">
        <v>1012</v>
      </c>
      <c r="F786" s="443">
        <v>1012</v>
      </c>
      <c r="G786" s="443">
        <v>1012</v>
      </c>
      <c r="H786" s="744">
        <f t="shared" si="1"/>
        <v>1</v>
      </c>
      <c r="I786" s="585"/>
    </row>
    <row r="787" spans="1:9" ht="12.75" customHeight="1">
      <c r="A787" s="444"/>
      <c r="B787" s="433" t="s">
        <v>125</v>
      </c>
      <c r="C787" s="443"/>
      <c r="D787" s="443"/>
      <c r="E787" s="443"/>
      <c r="F787" s="443"/>
      <c r="G787" s="443"/>
      <c r="H787" s="422"/>
      <c r="I787" s="585"/>
    </row>
    <row r="788" spans="1:9" ht="12.75" customHeight="1">
      <c r="A788" s="444"/>
      <c r="B788" s="433" t="s">
        <v>308</v>
      </c>
      <c r="C788" s="443"/>
      <c r="D788" s="443"/>
      <c r="E788" s="443"/>
      <c r="F788" s="443"/>
      <c r="G788" s="443"/>
      <c r="H788" s="422"/>
      <c r="I788" s="471"/>
    </row>
    <row r="789" spans="1:9" ht="12.75" customHeight="1" thickBot="1">
      <c r="A789" s="444"/>
      <c r="B789" s="434" t="s">
        <v>93</v>
      </c>
      <c r="C789" s="774"/>
      <c r="D789" s="774"/>
      <c r="E789" s="774"/>
      <c r="F789" s="774"/>
      <c r="G789" s="774"/>
      <c r="H789" s="1182"/>
      <c r="I789" s="499"/>
    </row>
    <row r="790" spans="1:9" ht="12.75" customHeight="1" thickBot="1">
      <c r="A790" s="446"/>
      <c r="B790" s="438" t="s">
        <v>142</v>
      </c>
      <c r="C790" s="761">
        <f>SUM(C784:C789)</f>
        <v>1000</v>
      </c>
      <c r="D790" s="761">
        <f>SUM(D784:D789)</f>
        <v>1012</v>
      </c>
      <c r="E790" s="761">
        <f>SUM(E784:E789)</f>
        <v>1012</v>
      </c>
      <c r="F790" s="761">
        <f>SUM(F784:F789)</f>
        <v>1012</v>
      </c>
      <c r="G790" s="761">
        <f>SUM(G784:G789)</f>
        <v>1012</v>
      </c>
      <c r="H790" s="1185">
        <f t="shared" si="1"/>
        <v>1</v>
      </c>
      <c r="I790" s="500"/>
    </row>
    <row r="791" spans="1:9" ht="12.75" customHeight="1">
      <c r="A791" s="448">
        <v>3452</v>
      </c>
      <c r="B791" s="425" t="s">
        <v>33</v>
      </c>
      <c r="C791" s="426"/>
      <c r="D791" s="426"/>
      <c r="E791" s="426"/>
      <c r="F791" s="426"/>
      <c r="G791" s="426"/>
      <c r="H791" s="422"/>
      <c r="I791" s="471"/>
    </row>
    <row r="792" spans="1:9" ht="12.75" customHeight="1">
      <c r="A792" s="444"/>
      <c r="B792" s="429" t="s">
        <v>120</v>
      </c>
      <c r="C792" s="443"/>
      <c r="D792" s="443"/>
      <c r="E792" s="443"/>
      <c r="F792" s="443"/>
      <c r="G792" s="443"/>
      <c r="H792" s="422"/>
      <c r="I792" s="471"/>
    </row>
    <row r="793" spans="1:9" ht="12.75" customHeight="1">
      <c r="A793" s="444"/>
      <c r="B793" s="431" t="s">
        <v>314</v>
      </c>
      <c r="C793" s="443"/>
      <c r="D793" s="443"/>
      <c r="E793" s="443"/>
      <c r="F793" s="443"/>
      <c r="G793" s="443"/>
      <c r="H793" s="422"/>
      <c r="I793" s="470"/>
    </row>
    <row r="794" spans="1:9" ht="10.5" customHeight="1">
      <c r="A794" s="444"/>
      <c r="B794" s="432" t="s">
        <v>299</v>
      </c>
      <c r="C794" s="443"/>
      <c r="D794" s="443"/>
      <c r="E794" s="443"/>
      <c r="F794" s="443">
        <v>700</v>
      </c>
      <c r="G794" s="443">
        <v>700</v>
      </c>
      <c r="H794" s="1186">
        <f t="shared" si="1"/>
        <v>1</v>
      </c>
      <c r="I794" s="470"/>
    </row>
    <row r="795" spans="1:9" ht="10.5" customHeight="1">
      <c r="A795" s="444"/>
      <c r="B795" s="433" t="s">
        <v>125</v>
      </c>
      <c r="C795" s="443"/>
      <c r="D795" s="443"/>
      <c r="E795" s="443"/>
      <c r="F795" s="443"/>
      <c r="G795" s="443"/>
      <c r="H795" s="744"/>
      <c r="I795" s="471"/>
    </row>
    <row r="796" spans="1:9" ht="10.5" customHeight="1">
      <c r="A796" s="444"/>
      <c r="B796" s="433" t="s">
        <v>308</v>
      </c>
      <c r="C796" s="443"/>
      <c r="D796" s="443"/>
      <c r="E796" s="443"/>
      <c r="F796" s="443"/>
      <c r="G796" s="443"/>
      <c r="H796" s="744"/>
      <c r="I796" s="471"/>
    </row>
    <row r="797" spans="1:9" ht="12.75" customHeight="1" thickBot="1">
      <c r="A797" s="444"/>
      <c r="B797" s="434" t="s">
        <v>266</v>
      </c>
      <c r="C797" s="770">
        <v>1000</v>
      </c>
      <c r="D797" s="770">
        <v>1000</v>
      </c>
      <c r="E797" s="770">
        <v>1000</v>
      </c>
      <c r="F797" s="770">
        <v>300</v>
      </c>
      <c r="G797" s="770">
        <v>300</v>
      </c>
      <c r="H797" s="1187">
        <f t="shared" si="1"/>
        <v>1</v>
      </c>
      <c r="I797" s="499"/>
    </row>
    <row r="798" spans="1:9" ht="12.75" customHeight="1" thickBot="1">
      <c r="A798" s="446"/>
      <c r="B798" s="438" t="s">
        <v>142</v>
      </c>
      <c r="C798" s="761">
        <f>SUM(C792:C797)</f>
        <v>1000</v>
      </c>
      <c r="D798" s="761">
        <f>SUM(D792:D797)</f>
        <v>1000</v>
      </c>
      <c r="E798" s="761">
        <f>SUM(E792:E797)</f>
        <v>1000</v>
      </c>
      <c r="F798" s="761">
        <f>SUM(F792:F797)</f>
        <v>1000</v>
      </c>
      <c r="G798" s="761">
        <f>SUM(G792:G797)</f>
        <v>1000</v>
      </c>
      <c r="H798" s="1185">
        <f t="shared" si="1"/>
        <v>1</v>
      </c>
      <c r="I798" s="500"/>
    </row>
    <row r="799" spans="1:9" ht="12" customHeight="1">
      <c r="A799" s="359">
        <v>3600</v>
      </c>
      <c r="B799" s="461" t="s">
        <v>58</v>
      </c>
      <c r="C799" s="367"/>
      <c r="D799" s="367"/>
      <c r="E799" s="367"/>
      <c r="F799" s="367"/>
      <c r="G799" s="367"/>
      <c r="H799" s="422"/>
      <c r="I799" s="449"/>
    </row>
    <row r="800" spans="1:9" ht="12" customHeight="1">
      <c r="A800" s="359"/>
      <c r="B800" s="390" t="s">
        <v>75</v>
      </c>
      <c r="C800" s="367"/>
      <c r="D800" s="367"/>
      <c r="E800" s="367"/>
      <c r="F800" s="367"/>
      <c r="G800" s="367"/>
      <c r="H800" s="422"/>
      <c r="I800" s="449"/>
    </row>
    <row r="801" spans="1:9" ht="12" customHeight="1">
      <c r="A801" s="292"/>
      <c r="B801" s="371" t="s">
        <v>120</v>
      </c>
      <c r="C801" s="298">
        <f aca="true" t="shared" si="2" ref="C801:G802">SUM(C11+C36+C44+C53+C63+C79+C97+C105+C113+C121+C138+C146+C155+C163+C171+C189+C197+C205+C213+C222+C230+C239+C247+C255+C264+C273+C281+C289+C297+C305+C314+C332+C340+C375+C383+C391+C440+C449+C457+C473+C481+C489+C498+C506+C514+C522+C530+C538+C554+C562+C570+C579+C587+C595+C603+C629+C637+C645+C654+C662+C679+C687+C695+C703+C711+C719+C727+C735+C743+C751+C759+C768+C776+C784+C792+C179+C619+C671)</f>
        <v>191841</v>
      </c>
      <c r="D801" s="298">
        <f t="shared" si="2"/>
        <v>202468</v>
      </c>
      <c r="E801" s="298">
        <f t="shared" si="2"/>
        <v>202468</v>
      </c>
      <c r="F801" s="298">
        <f t="shared" si="2"/>
        <v>199990</v>
      </c>
      <c r="G801" s="298">
        <f t="shared" si="2"/>
        <v>191528</v>
      </c>
      <c r="H801" s="1186">
        <f t="shared" si="1"/>
        <v>0.9576878843942197</v>
      </c>
      <c r="I801" s="423"/>
    </row>
    <row r="802" spans="1:9" ht="12" customHeight="1">
      <c r="A802" s="292"/>
      <c r="B802" s="299" t="s">
        <v>115</v>
      </c>
      <c r="C802" s="298">
        <f t="shared" si="2"/>
        <v>53003</v>
      </c>
      <c r="D802" s="298">
        <f t="shared" si="2"/>
        <v>60361</v>
      </c>
      <c r="E802" s="298">
        <f t="shared" si="2"/>
        <v>60361</v>
      </c>
      <c r="F802" s="298">
        <f t="shared" si="2"/>
        <v>59157</v>
      </c>
      <c r="G802" s="298">
        <f t="shared" si="2"/>
        <v>57097</v>
      </c>
      <c r="H802" s="744">
        <f t="shared" si="1"/>
        <v>0.9651774092668661</v>
      </c>
      <c r="I802" s="423"/>
    </row>
    <row r="803" spans="1:9" ht="12" customHeight="1">
      <c r="A803" s="292"/>
      <c r="B803" s="299" t="s">
        <v>311</v>
      </c>
      <c r="C803" s="298">
        <f>SUM(C13+C38+C46+C55+C65+C81+C99+C107+C115+C123+C140+C148+C157+C165+C173+C191+C199+C207+C215+C224+C232+C241+C249+C257+C266+C275+C283+C291+C299+C307+C316+C334+C342+C377+C385+C393+C442+C451+C459+C475+C483+C491+C500+C508+C516+C524+C532+C540+C556+C564+C572+C581+C589+C597+C605+C631+C639+C647+C656+C664+C681+C689+C697+C705+C713+C721+C729+C737+C745+C753+C761+C770+C778+C786+C794+C548+C613+C621+C409+C401+C425+C181+C359+C433+C90+C673+C73+C467+C325+C21)</f>
        <v>3435419</v>
      </c>
      <c r="D803" s="298">
        <f>SUM(D13+D38+D46+D55+D65+D81+D99+D107+D115+D123+D140+D148+D157+D165+D173+D191+D199+D207+D215+D224+D232+D241+D249+D257+D266+D275+D283+D291+D299+D307+D316+D334+D342+D377+D385+D393+D442+D451+D459+D475+D483+D491+D500+D508+D516+D524+D532+D540+D556+D564+D572+D581+D589+D597+D605+D631+D639+D647+D656+D664+D681+D689+D697+D705+D713+D721+D729+D737+D745+D753+D761+D770+D778+D786+D794+D548+D613+D621+D409+D401+D425+D181+D359+D433+D90+D673+D73+D467+D325+D21+D131+D29)</f>
        <v>3707688</v>
      </c>
      <c r="E803" s="298">
        <f>SUM(E13+E38+E46+E55+E65+E81+E99+E107+E115+E123+E140+E148+E157+E165+E173+E191+E199+E207+E215+E224+E232+E241+E249+E257+E266+E275+E283+E291+E299+E307+E316+E334+E342+E377+E385+E393+E442+E451+E459+E475+E483+E491+E500+E508+E516+E524+E532+E540+E556+E564+E572+E581+E589+E597+E605+E631+E639+E647+E656+E664+E681+E689+E697+E705+E713+E721+E729+E737+E745+E753+E761+E770+E778+E786+E794+E548+E613+E621+E409+E401+E425+E181+E359+E433+E90+E673+E73+E467+E325+E21+E131+E29)</f>
        <v>3758838</v>
      </c>
      <c r="F803" s="298">
        <f>SUM(F13+F38+F46+F55+F65+F81+F99+F107+F115+F123+F140+F148+F157+F165+F173+F191+F199+F207+F215+F224+F232+F241+F249+F257+F266+F275+F283+F291+F299+F307+F316+F334+F342+F377+F385+F393+F442+F451+F459+F475+F483+F491+F500+F508+F516+F524+F532+F540+F556+F564+F572+F581+F589+F597+F605+F631+F639+F647+F656+F664+F681+F689+F697+F705+F713+F721+F729+F737+F745+F753+F761+F770+F778+F786+F794+F548+F613+F621+F409+F401+F425+F181+F359+F433+F90+F673+F73+F467+F325+F21+F131+F29)</f>
        <v>3779551</v>
      </c>
      <c r="G803" s="298">
        <f>SUM(G13+G38+G46+G55+G65+G81+G99+G107+G115+G123+G140+G148+G157+G165+G173+G191+G199+G207+G215+G224+G232+G241+G249+G257+G266+G275+G283+G291+G299+G307+G316+G334+G342+G377+G385+G393+G442+G451+G459+G475+G483+G491+G500+G508+G516+G524+G532+G540+G556+G564+G572+G581+G589+G597+G605+G631+G639+G647+G656+G664+G681+G689+G697+G705+G713+G721+G729+G737+G745+G753+G761+G770+G778+G786+G794+G548+G613+G621+G409+G401+G425+G181+G359+G433+G90+G673+G73+G467+G325+G21+G131+G29)</f>
        <v>3767282</v>
      </c>
      <c r="H803" s="744">
        <f t="shared" si="1"/>
        <v>0.9967538472162434</v>
      </c>
      <c r="I803" s="494"/>
    </row>
    <row r="804" spans="1:9" ht="12" customHeight="1">
      <c r="A804" s="292"/>
      <c r="B804" s="182" t="s">
        <v>125</v>
      </c>
      <c r="C804" s="298">
        <f>SUM(C14+C39+C47+C56+C66+C82+C100+C108+C116+C124+C141+C149+C158+C166+C174+C192+C200+C208+C216+C225+C233+C242+C250+C258+C267+C276+C284+C292+C300+C308+C317+C335+C343+C378+C386+C394+C443+C452+C460+C476+C484+C492+C501+C509+C517+C525+C533+C541+C557+C565+C573+C582+C590+C598+C606+C632+C640+C648+C657+C665+C682+C690+C698+C706+C714+C722+C730+C738+C746+C754+C762+C771+C779+C787+C795+C351+C360+C369+C410+C402+C418+C426+C434)</f>
        <v>212460</v>
      </c>
      <c r="D804" s="298">
        <f>SUM(D14+D39+D47+D56+D66+D82+D100+D108+D116+D124+D141+D149+D158+D166+D174+D192+D200+D208+D216+D225+D233+D242+D250+D258+D267+D276+D284+D292+D300+D308+D317+D335+D343+D378+D386+D394+D443+D452+D460+D476+D484+D492+D501+D509+D517+D525+D533+D541+D557+D565+D573+D582+D590+D598+D606+D632+D640+D648+D657+D665+D682+D690+D698+D706+D714+D722+D730+D738+D746+D754+D762+D771+D779+D787+D795+D351+D360+D369+D410+D402+D418+D426+D434)</f>
        <v>213416</v>
      </c>
      <c r="E804" s="298">
        <f>SUM(E14+E39+E47+E56+E66+E82+E100+E108+E116+E124+E141+E149+E158+E166+E174+E192+E200+E208+E216+E225+E233+E242+E250+E258+E267+E276+E284+E292+E300+E308+E317+E335+E343+E378+E386+E394+E443+E452+E460+E476+E484+E492+E501+E509+E517+E525+E533+E541+E557+E565+E573+E582+E590+E598+E606+E632+E640+E648+E657+E665+E682+E690+E698+E706+E714+E722+E730+E738+E746+E754+E762+E771+E779+E787+E795+E351+E360+E369+E410+E402+E418+E426+E434)</f>
        <v>220418</v>
      </c>
      <c r="F804" s="298">
        <f>SUM(F14+F39+F47+F56+F66+F82+F100+F108+F116+F124+F141+F149+F158+F166+F174+F192+F200+F208+F216+F225+F233+F242+F250+F258+F267+F276+F284+F292+F300+F308+F317+F335+F343+F378+F386+F394+F443+F452+F460+F476+F484+F492+F501+F509+F517+F525+F533+F541+F557+F565+F573+F582+F590+F598+F606+F632+F640+F648+F657+F665+F682+F690+F698+F706+F714+F722+F730+F738+F746+F754+F762+F771+F779+F787+F795+F351+F360+F369+F410+F402+F418+F426+F434)</f>
        <v>228430</v>
      </c>
      <c r="G804" s="298">
        <f>SUM(G14+G39+G47+G56+G66+G82+G100+G108+G116+G124+G141+G149+G158+G166+G174+G192+G200+G208+G216+G225+G233+G242+G250+G258+G267+G276+G284+G292+G300+G308+G317+G335+G343+G378+G386+G394+G443+G452+G460+G476+G484+G492+G501+G509+G517+G525+G533+G541+G557+G565+G573+G582+G590+G598+G606+G632+G640+G648+G657+G665+G682+G690+G698+G706+G714+G722+G730+G738+G746+G754+G762+G771+G779+G787+G795+G351+G360+G369+G410+G402+G418+G426+G434)</f>
        <v>231207</v>
      </c>
      <c r="H804" s="744">
        <f t="shared" si="1"/>
        <v>1.0121568970800683</v>
      </c>
      <c r="I804" s="494"/>
    </row>
    <row r="805" spans="1:9" ht="12" customHeight="1" thickBot="1">
      <c r="A805" s="292"/>
      <c r="B805" s="504" t="s">
        <v>308</v>
      </c>
      <c r="C805" s="769">
        <f>SUM(C15+C40+C48+C57+C67+C83+C101+C109+C117+C125+C142+C150+C159+C167+C175+C193+C201+C209+C217+C226+C234+C243+C251+C259+C268+C277+C285+C293+C318+C336+C344+C370+C379+C387+C395+C444+C453+C461+C477+C485+C493+C502+C510+C518+C526+C534+C542+C558+C566+C574+C583+C591+C599+C607+C633+C641+C649+C658+C666+C683+C691+C699+C707+C715+C723+C731+C739+C747+C755+C763+C772+C780+C788+C796+C183+C615+C623+C327)</f>
        <v>101774</v>
      </c>
      <c r="D805" s="769">
        <f>SUM(D15+D40+D48+D57+D67+D83+D101+D109+D117+D125+D142+D150+D159+D167+D175+D193+D201+D209+D217+D226+D234+D243+D251+D259+D268+D277+D285+D293+D318+D336+D344+D370+D379+D387+D395+D444+D453+D461+D477+D485+D493+D502+D510+D518+D526+D534+D542+D558+D566+D574+D583+D591+D599+D607+D633+D641+D649+D658+D666+D683+D691+D699+D707+D715+D723+D731+D739+D747+D755+D763+D772+D780+D788+D796+D183+D615+D623+D327)</f>
        <v>117057</v>
      </c>
      <c r="E805" s="769">
        <f>SUM(E15+E40+E48+E57+E67+E83+E101+E109+E117+E125+E142+E150+E159+E167+E175+E193+E201+E209+E217+E226+E234+E243+E251+E259+E268+E277+E285+E293+E318+E336+E344+E370+E379+E387+E395+E444+E453+E461+E477+E485+E493+E502+E510+E518+E526+E534+E542+E558+E566+E574+E583+E591+E599+E607+E633+E641+E649+E658+E666+E683+E691+E699+E707+E715+E723+E731+E739+E747+E755+E763+E772+E780+E788+E796+E183+E615+E623+E327)</f>
        <v>114920</v>
      </c>
      <c r="F805" s="769">
        <f>SUM(F15+F40+F48+F57+F67+F83+F101+F109+F117+F125+F142+F150+F159+F167+F175+F193+F201+F209+F217+F226+F234+F243+F251+F259+F268+F277+F285+F293+F318+F336+F344+F370+F379+F387+F395+F444+F453+F461+F477+F485+F493+F502+F510+F518+F526+F534+F542+F558+F566+F574+F583+F591+F599+F607+F633+F641+F649+F658+F666+F683+F691+F699+F707+F715+F723+F731+F739+F747+F755+F763+F772+F780+F788+F796+F183+F615+F623+F327)</f>
        <v>115104</v>
      </c>
      <c r="G805" s="769">
        <f>SUM(G15+G40+G48+G57+G67+G83+G101+G109+G117+G125+G142+G150+G159+G167+G175+G193+G201+G209+G217+G226+G234+G243+G251+G259+G268+G277+G285+G293+G318+G336+G344+G370+G379+G387+G395+G444+G453+G461+G477+G485+G493+G502+G510+G518+G526+G534+G542+G558+G566+G574+G583+G591+G599+G607+G633+G641+G649+G658+G666+G683+G691+G699+G707+G715+G723+G731+G739+G747+G755+G763+G772+G780+G788+G796+G183+G615+G623+G327+G675)</f>
        <v>125377</v>
      </c>
      <c r="H805" s="1187">
        <f t="shared" si="1"/>
        <v>1.0892497219905477</v>
      </c>
      <c r="I805" s="452"/>
    </row>
    <row r="806" spans="1:9" ht="12" customHeight="1" thickBot="1">
      <c r="A806" s="292"/>
      <c r="B806" s="505" t="s">
        <v>65</v>
      </c>
      <c r="C806" s="776">
        <f>SUM(C801:C805)</f>
        <v>3994497</v>
      </c>
      <c r="D806" s="776">
        <f>SUM(D801:D805)</f>
        <v>4300990</v>
      </c>
      <c r="E806" s="776">
        <f>SUM(E801:E805)</f>
        <v>4357005</v>
      </c>
      <c r="F806" s="776">
        <f>SUM(F801:F805)</f>
        <v>4382232</v>
      </c>
      <c r="G806" s="776">
        <f>SUM(G801:G805)</f>
        <v>4372491</v>
      </c>
      <c r="H806" s="1185">
        <f t="shared" si="1"/>
        <v>0.997777160132097</v>
      </c>
      <c r="I806" s="468"/>
    </row>
    <row r="807" spans="1:9" ht="12" customHeight="1">
      <c r="A807" s="292"/>
      <c r="B807" s="506" t="s">
        <v>76</v>
      </c>
      <c r="C807" s="298"/>
      <c r="D807" s="298"/>
      <c r="E807" s="298"/>
      <c r="F807" s="298"/>
      <c r="G807" s="298"/>
      <c r="H807" s="422"/>
      <c r="I807" s="449"/>
    </row>
    <row r="808" spans="1:9" ht="12" customHeight="1">
      <c r="A808" s="292"/>
      <c r="B808" s="299" t="s">
        <v>261</v>
      </c>
      <c r="C808" s="298">
        <f>SUM(C218+C301+C797+C41+C202+C634+C310+C684+C93+C184+C584+C151+C600)</f>
        <v>30009</v>
      </c>
      <c r="D808" s="298">
        <f>SUM(D218+D301+D797+D41+D202+D634+D310+D684+D93+D184+D584+D151+D600+D84+D260+D650)</f>
        <v>44542</v>
      </c>
      <c r="E808" s="298">
        <f>SUM(E218+E301+E797+E41+E202+E634+E310+E684+E93+E184+E584+E151+E600+E84+E260+E650)</f>
        <v>74542</v>
      </c>
      <c r="F808" s="298">
        <f>SUM(F218+F301+F797+F41+F202+F634+F310+F684+F93+F184+F584+F151+F600+F84+F260+F650+F319)</f>
        <v>96347</v>
      </c>
      <c r="G808" s="298">
        <f>SUM(G218+G301+G797+G41+G202+G634+G310+G684+G93+G184+G584+G151+G600+G84+G260+G650+G319)</f>
        <v>105623</v>
      </c>
      <c r="H808" s="1186">
        <f t="shared" si="1"/>
        <v>1.096276998764881</v>
      </c>
      <c r="I808" s="449"/>
    </row>
    <row r="809" spans="1:9" ht="12" customHeight="1">
      <c r="A809" s="292"/>
      <c r="B809" s="299" t="s">
        <v>262</v>
      </c>
      <c r="C809" s="298">
        <f>SUM(C84)</f>
        <v>0</v>
      </c>
      <c r="D809" s="298">
        <f>SUM(D85)</f>
        <v>447</v>
      </c>
      <c r="E809" s="298">
        <f>SUM(E85)</f>
        <v>447</v>
      </c>
      <c r="F809" s="298">
        <f>SUM(F85)</f>
        <v>447</v>
      </c>
      <c r="G809" s="298">
        <f>SUM(G85)</f>
        <v>447</v>
      </c>
      <c r="H809" s="744">
        <f t="shared" si="1"/>
        <v>1</v>
      </c>
      <c r="I809" s="423"/>
    </row>
    <row r="810" spans="1:9" ht="12" customHeight="1" thickBot="1">
      <c r="A810" s="292"/>
      <c r="B810" s="504" t="s">
        <v>342</v>
      </c>
      <c r="C810" s="769">
        <f>SUM(C68+C210+C219+C260+C160+C337+C616+C624+C236+C269+C692+C152+C320+C651+C185)</f>
        <v>1215826</v>
      </c>
      <c r="D810" s="769">
        <f>SUM(D68+D210+D219+D160+D337+D616+D624+D236+D269+D692+D152+D320+D651+D185)</f>
        <v>1232159</v>
      </c>
      <c r="E810" s="769">
        <f>SUM(E68+E210+E219+E160+E337+E616+E624+E236+E269+E692+E152+E320+E651+E185)</f>
        <v>1231359</v>
      </c>
      <c r="F810" s="769">
        <f>SUM(F68+F210+F219+F160+F337+F616+F624+F236+F269+F692+F152+F320+F651+F185)</f>
        <v>1231853</v>
      </c>
      <c r="G810" s="769">
        <f>SUM(G68+G210+G219+G160+G337+G616+G624+G236+G269+G692+G152+G320+G651+G185+G261)</f>
        <v>1233934</v>
      </c>
      <c r="H810" s="1187">
        <f t="shared" si="1"/>
        <v>1.0016893249438041</v>
      </c>
      <c r="I810" s="468"/>
    </row>
    <row r="811" spans="1:9" ht="12" customHeight="1" thickBot="1">
      <c r="A811" s="292"/>
      <c r="B811" s="505" t="s">
        <v>71</v>
      </c>
      <c r="C811" s="776">
        <f>SUM(C808:C810)</f>
        <v>1245835</v>
      </c>
      <c r="D811" s="776">
        <f>SUM(D808:D810)</f>
        <v>1277148</v>
      </c>
      <c r="E811" s="776">
        <f>SUM(E808:E810)</f>
        <v>1306348</v>
      </c>
      <c r="F811" s="776">
        <f>SUM(F808:F810)</f>
        <v>1328647</v>
      </c>
      <c r="G811" s="776">
        <f>SUM(G808:G810)</f>
        <v>1340004</v>
      </c>
      <c r="H811" s="1185">
        <f t="shared" si="1"/>
        <v>1.0085477933567004</v>
      </c>
      <c r="I811" s="468"/>
    </row>
    <row r="812" spans="1:9" ht="10.5" customHeight="1" thickBot="1">
      <c r="A812" s="361"/>
      <c r="B812" s="376" t="s">
        <v>269</v>
      </c>
      <c r="C812" s="777">
        <f>SUM(C811+C806)</f>
        <v>5240332</v>
      </c>
      <c r="D812" s="777">
        <f>SUM(D811+D806)</f>
        <v>5578138</v>
      </c>
      <c r="E812" s="777">
        <f>SUM(E811+E806)</f>
        <v>5663353</v>
      </c>
      <c r="F812" s="777">
        <f>SUM(F811+F806)</f>
        <v>5710879</v>
      </c>
      <c r="G812" s="777">
        <f>SUM(G811+G806)</f>
        <v>5712495</v>
      </c>
      <c r="H812" s="1185">
        <f t="shared" si="1"/>
        <v>1.0002829686988641</v>
      </c>
      <c r="I812" s="454"/>
    </row>
  </sheetData>
  <sheetProtection/>
  <mergeCells count="8">
    <mergeCell ref="A1:I1"/>
    <mergeCell ref="A2:I2"/>
    <mergeCell ref="H5:H7"/>
    <mergeCell ref="C5:C7"/>
    <mergeCell ref="D5:D7"/>
    <mergeCell ref="E5:E7"/>
    <mergeCell ref="F5:F7"/>
    <mergeCell ref="G5:G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79" r:id="rId1"/>
  <headerFooter alignWithMargins="0">
    <oddFooter>&amp;C&amp;P. oldal</oddFooter>
  </headerFooter>
  <rowBreaks count="17" manualBreakCount="17">
    <brk id="50" max="255" man="1"/>
    <brk id="94" max="255" man="1"/>
    <brk id="144" max="255" man="1"/>
    <brk id="187" max="255" man="1"/>
    <brk id="237" max="255" man="1"/>
    <brk id="287" max="255" man="1"/>
    <brk id="338" max="255" man="1"/>
    <brk id="381" max="255" man="1"/>
    <brk id="429" max="255" man="1"/>
    <brk id="479" max="255" man="1"/>
    <brk id="528" max="255" man="1"/>
    <brk id="577" max="255" man="1"/>
    <brk id="625" max="255" man="1"/>
    <brk id="668" max="255" man="1"/>
    <brk id="717" max="255" man="1"/>
    <brk id="757" max="255" man="1"/>
    <brk id="7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showZeros="0" zoomScale="95" zoomScaleNormal="95" zoomScalePageLayoutView="0" workbookViewId="0" topLeftCell="A19">
      <selection activeCell="H47" sqref="H47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7" width="13.125" style="10" customWidth="1"/>
    <col min="8" max="8" width="8.625" style="10" customWidth="1"/>
    <col min="9" max="9" width="50.875" style="9" customWidth="1"/>
    <col min="10" max="16384" width="9.125" style="9" customWidth="1"/>
  </cols>
  <sheetData>
    <row r="1" spans="1:9" ht="12.75" customHeight="1">
      <c r="A1" s="1311" t="s">
        <v>313</v>
      </c>
      <c r="B1" s="1310"/>
      <c r="C1" s="1310"/>
      <c r="D1" s="1310"/>
      <c r="E1" s="1310"/>
      <c r="F1" s="1310"/>
      <c r="G1" s="1310"/>
      <c r="H1" s="1310"/>
      <c r="I1" s="1310"/>
    </row>
    <row r="2" spans="1:9" ht="12.75" customHeight="1">
      <c r="A2" s="1309" t="s">
        <v>1078</v>
      </c>
      <c r="B2" s="1310"/>
      <c r="C2" s="1310"/>
      <c r="D2" s="1310"/>
      <c r="E2" s="1310"/>
      <c r="F2" s="1310"/>
      <c r="G2" s="1310"/>
      <c r="H2" s="1310"/>
      <c r="I2" s="1310"/>
    </row>
    <row r="3" spans="3:9" ht="12" customHeight="1">
      <c r="C3" s="67"/>
      <c r="D3" s="67"/>
      <c r="E3" s="67"/>
      <c r="F3" s="67"/>
      <c r="G3" s="67"/>
      <c r="H3" s="67"/>
      <c r="I3" s="78" t="s">
        <v>191</v>
      </c>
    </row>
    <row r="4" spans="1:9" ht="12.75" customHeight="1">
      <c r="A4" s="47"/>
      <c r="B4" s="48"/>
      <c r="C4" s="1258" t="s">
        <v>1130</v>
      </c>
      <c r="D4" s="1258" t="s">
        <v>1187</v>
      </c>
      <c r="E4" s="1258" t="s">
        <v>1203</v>
      </c>
      <c r="F4" s="1258" t="s">
        <v>1224</v>
      </c>
      <c r="G4" s="1258" t="s">
        <v>1229</v>
      </c>
      <c r="H4" s="1258" t="s">
        <v>1244</v>
      </c>
      <c r="I4" s="87" t="s">
        <v>151</v>
      </c>
    </row>
    <row r="5" spans="1:9" ht="12.75">
      <c r="A5" s="49" t="s">
        <v>293</v>
      </c>
      <c r="B5" s="86" t="s">
        <v>150</v>
      </c>
      <c r="C5" s="1274"/>
      <c r="D5" s="1274"/>
      <c r="E5" s="1274"/>
      <c r="F5" s="1274"/>
      <c r="G5" s="1274"/>
      <c r="H5" s="1307"/>
      <c r="I5" s="50" t="s">
        <v>152</v>
      </c>
    </row>
    <row r="6" spans="1:9" ht="13.5" thickBot="1">
      <c r="A6" s="51"/>
      <c r="B6" s="52"/>
      <c r="C6" s="1275"/>
      <c r="D6" s="1275"/>
      <c r="E6" s="1275"/>
      <c r="F6" s="1275"/>
      <c r="G6" s="1275"/>
      <c r="H6" s="1308"/>
      <c r="I6" s="53"/>
    </row>
    <row r="7" spans="1:9" ht="15" customHeight="1">
      <c r="A7" s="197" t="s">
        <v>172</v>
      </c>
      <c r="B7" s="198" t="s">
        <v>173</v>
      </c>
      <c r="C7" s="199" t="s">
        <v>174</v>
      </c>
      <c r="D7" s="199" t="s">
        <v>175</v>
      </c>
      <c r="E7" s="199" t="s">
        <v>176</v>
      </c>
      <c r="F7" s="199" t="s">
        <v>47</v>
      </c>
      <c r="G7" s="199" t="s">
        <v>386</v>
      </c>
      <c r="H7" s="199" t="s">
        <v>618</v>
      </c>
      <c r="I7" s="199" t="s">
        <v>620</v>
      </c>
    </row>
    <row r="8" spans="1:9" ht="12.75" customHeight="1">
      <c r="A8" s="102"/>
      <c r="B8" s="84" t="s">
        <v>276</v>
      </c>
      <c r="C8" s="599"/>
      <c r="D8" s="599"/>
      <c r="E8" s="599"/>
      <c r="F8" s="599"/>
      <c r="G8" s="599"/>
      <c r="H8" s="629"/>
      <c r="I8" s="630"/>
    </row>
    <row r="9" spans="1:9" ht="12.75" customHeight="1" thickBot="1">
      <c r="A9" s="41">
        <v>3911</v>
      </c>
      <c r="B9" s="34" t="s">
        <v>196</v>
      </c>
      <c r="C9" s="778">
        <v>15000</v>
      </c>
      <c r="D9" s="778">
        <v>15000</v>
      </c>
      <c r="E9" s="778">
        <v>15000</v>
      </c>
      <c r="F9" s="778">
        <v>15000</v>
      </c>
      <c r="G9" s="778">
        <v>15000</v>
      </c>
      <c r="H9" s="746">
        <f>SUM(G9/F9)</f>
        <v>1</v>
      </c>
      <c r="I9" s="600"/>
    </row>
    <row r="10" spans="1:9" ht="12.75" customHeight="1" thickBot="1">
      <c r="A10" s="62">
        <v>3910</v>
      </c>
      <c r="B10" s="35" t="s">
        <v>186</v>
      </c>
      <c r="C10" s="721">
        <f>SUM(C9:C9)</f>
        <v>15000</v>
      </c>
      <c r="D10" s="721">
        <f>SUM(D9:D9)</f>
        <v>15000</v>
      </c>
      <c r="E10" s="721">
        <f>SUM(E9:E9)</f>
        <v>15000</v>
      </c>
      <c r="F10" s="721">
        <f>SUM(F9:F9)</f>
        <v>15000</v>
      </c>
      <c r="G10" s="721">
        <f>SUM(G9:G9)</f>
        <v>15000</v>
      </c>
      <c r="H10" s="1206">
        <f aca="true" t="shared" si="0" ref="H10:H65">SUM(G10/F10)</f>
        <v>1</v>
      </c>
      <c r="I10" s="600"/>
    </row>
    <row r="11" spans="1:9" s="13" customFormat="1" ht="12.75" customHeight="1">
      <c r="A11" s="11"/>
      <c r="B11" s="37" t="s">
        <v>275</v>
      </c>
      <c r="C11" s="718"/>
      <c r="D11" s="718"/>
      <c r="E11" s="718"/>
      <c r="F11" s="718"/>
      <c r="G11" s="718"/>
      <c r="H11" s="631"/>
      <c r="I11" s="601"/>
    </row>
    <row r="12" spans="1:9" s="13" customFormat="1" ht="12.75" customHeight="1">
      <c r="A12" s="41">
        <v>3921</v>
      </c>
      <c r="B12" s="34" t="s">
        <v>520</v>
      </c>
      <c r="C12" s="719">
        <v>6000</v>
      </c>
      <c r="D12" s="719">
        <v>6000</v>
      </c>
      <c r="E12" s="719">
        <v>6000</v>
      </c>
      <c r="F12" s="719">
        <v>6000</v>
      </c>
      <c r="G12" s="719">
        <v>6000</v>
      </c>
      <c r="H12" s="631">
        <f t="shared" si="0"/>
        <v>1</v>
      </c>
      <c r="I12" s="602" t="s">
        <v>401</v>
      </c>
    </row>
    <row r="13" spans="1:9" s="13" customFormat="1" ht="12.75" customHeight="1">
      <c r="A13" s="41">
        <v>3922</v>
      </c>
      <c r="B13" s="34" t="s">
        <v>519</v>
      </c>
      <c r="C13" s="719">
        <v>5000</v>
      </c>
      <c r="D13" s="719">
        <v>5000</v>
      </c>
      <c r="E13" s="719">
        <v>5000</v>
      </c>
      <c r="F13" s="719">
        <v>5000</v>
      </c>
      <c r="G13" s="719">
        <v>5000</v>
      </c>
      <c r="H13" s="631">
        <f t="shared" si="0"/>
        <v>1</v>
      </c>
      <c r="I13" s="603" t="s">
        <v>484</v>
      </c>
    </row>
    <row r="14" spans="1:9" s="13" customFormat="1" ht="12.75" customHeight="1">
      <c r="A14" s="41">
        <v>3924</v>
      </c>
      <c r="B14" s="34" t="s">
        <v>444</v>
      </c>
      <c r="C14" s="719">
        <v>3000</v>
      </c>
      <c r="D14" s="719">
        <v>3000</v>
      </c>
      <c r="E14" s="719">
        <v>9000</v>
      </c>
      <c r="F14" s="719">
        <v>9000</v>
      </c>
      <c r="G14" s="719">
        <v>9000</v>
      </c>
      <c r="H14" s="631">
        <f t="shared" si="0"/>
        <v>1</v>
      </c>
      <c r="I14" s="603"/>
    </row>
    <row r="15" spans="1:9" s="13" customFormat="1" ht="12.75" customHeight="1">
      <c r="A15" s="41">
        <v>3925</v>
      </c>
      <c r="B15" s="34" t="s">
        <v>28</v>
      </c>
      <c r="C15" s="719">
        <v>464674</v>
      </c>
      <c r="D15" s="719">
        <v>471274</v>
      </c>
      <c r="E15" s="719">
        <v>471274</v>
      </c>
      <c r="F15" s="719">
        <v>471274</v>
      </c>
      <c r="G15" s="1238">
        <v>471274</v>
      </c>
      <c r="H15" s="631">
        <f t="shared" si="0"/>
        <v>1</v>
      </c>
      <c r="I15" s="604"/>
    </row>
    <row r="16" spans="1:9" s="13" customFormat="1" ht="12.75" customHeight="1">
      <c r="A16" s="41">
        <v>3926</v>
      </c>
      <c r="B16" s="34" t="s">
        <v>1126</v>
      </c>
      <c r="C16" s="719">
        <v>159695</v>
      </c>
      <c r="D16" s="719">
        <v>159695</v>
      </c>
      <c r="E16" s="719">
        <v>159695</v>
      </c>
      <c r="F16" s="719">
        <v>159695</v>
      </c>
      <c r="G16" s="719">
        <v>159695</v>
      </c>
      <c r="H16" s="631">
        <f t="shared" si="0"/>
        <v>1</v>
      </c>
      <c r="I16" s="604"/>
    </row>
    <row r="17" spans="1:9" s="13" customFormat="1" ht="12.75" customHeight="1">
      <c r="A17" s="41">
        <v>3928</v>
      </c>
      <c r="B17" s="34" t="s">
        <v>160</v>
      </c>
      <c r="C17" s="719">
        <f>SUM(C22+C18)</f>
        <v>192000</v>
      </c>
      <c r="D17" s="719">
        <f>SUM(D22+D18)</f>
        <v>392950</v>
      </c>
      <c r="E17" s="719">
        <f>SUM(E22+E18)</f>
        <v>396950</v>
      </c>
      <c r="F17" s="719">
        <f>SUM(F22+F18)</f>
        <v>396950</v>
      </c>
      <c r="G17" s="719">
        <f>SUM(G22+G18)</f>
        <v>396950</v>
      </c>
      <c r="H17" s="631">
        <f t="shared" si="0"/>
        <v>1</v>
      </c>
      <c r="I17" s="1092" t="s">
        <v>1104</v>
      </c>
    </row>
    <row r="18" spans="1:9" s="13" customFormat="1" ht="12.75" customHeight="1">
      <c r="A18" s="41"/>
      <c r="B18" s="191" t="s">
        <v>85</v>
      </c>
      <c r="C18" s="652">
        <f>SUM(C19:C21)</f>
        <v>12000</v>
      </c>
      <c r="D18" s="652">
        <f>SUM(D19:D21)</f>
        <v>12041</v>
      </c>
      <c r="E18" s="652">
        <f>SUM(E19:E21)</f>
        <v>16041</v>
      </c>
      <c r="F18" s="652">
        <f>SUM(F19:F21)</f>
        <v>16041</v>
      </c>
      <c r="G18" s="652">
        <f>SUM(G19:G21)</f>
        <v>16041</v>
      </c>
      <c r="H18" s="631">
        <f t="shared" si="0"/>
        <v>1</v>
      </c>
      <c r="I18" s="418"/>
    </row>
    <row r="19" spans="1:9" s="13" customFormat="1" ht="12.75" customHeight="1">
      <c r="A19" s="41"/>
      <c r="B19" s="191" t="s">
        <v>511</v>
      </c>
      <c r="C19" s="652">
        <v>2000</v>
      </c>
      <c r="D19" s="652">
        <v>2041</v>
      </c>
      <c r="E19" s="652">
        <v>2041</v>
      </c>
      <c r="F19" s="652">
        <v>2041</v>
      </c>
      <c r="G19" s="652">
        <v>2041</v>
      </c>
      <c r="H19" s="631">
        <f t="shared" si="0"/>
        <v>1</v>
      </c>
      <c r="I19" s="1093"/>
    </row>
    <row r="20" spans="1:9" s="13" customFormat="1" ht="12.75" customHeight="1">
      <c r="A20" s="41"/>
      <c r="B20" s="191" t="s">
        <v>512</v>
      </c>
      <c r="C20" s="652"/>
      <c r="D20" s="652"/>
      <c r="E20" s="652"/>
      <c r="F20" s="652"/>
      <c r="G20" s="652"/>
      <c r="H20" s="631"/>
      <c r="I20" s="604"/>
    </row>
    <row r="21" spans="1:9" s="13" customFormat="1" ht="12.75" customHeight="1">
      <c r="A21" s="41"/>
      <c r="B21" s="191" t="s">
        <v>513</v>
      </c>
      <c r="C21" s="652">
        <v>10000</v>
      </c>
      <c r="D21" s="652">
        <v>10000</v>
      </c>
      <c r="E21" s="652">
        <v>14000</v>
      </c>
      <c r="F21" s="652">
        <v>14000</v>
      </c>
      <c r="G21" s="652">
        <v>14000</v>
      </c>
      <c r="H21" s="631">
        <f t="shared" si="0"/>
        <v>1</v>
      </c>
      <c r="I21" s="604"/>
    </row>
    <row r="22" spans="1:9" s="13" customFormat="1" ht="12.75" customHeight="1">
      <c r="A22" s="41"/>
      <c r="B22" s="191" t="s">
        <v>414</v>
      </c>
      <c r="C22" s="652">
        <v>180000</v>
      </c>
      <c r="D22" s="652">
        <v>380909</v>
      </c>
      <c r="E22" s="652">
        <v>380909</v>
      </c>
      <c r="F22" s="652">
        <v>380909</v>
      </c>
      <c r="G22" s="652">
        <v>380909</v>
      </c>
      <c r="H22" s="631">
        <f t="shared" si="0"/>
        <v>1</v>
      </c>
      <c r="I22" s="604"/>
    </row>
    <row r="23" spans="1:9" s="13" customFormat="1" ht="12.75" customHeight="1" thickBot="1">
      <c r="A23" s="41">
        <v>3929</v>
      </c>
      <c r="B23" s="55" t="s">
        <v>302</v>
      </c>
      <c r="C23" s="720">
        <v>10000</v>
      </c>
      <c r="D23" s="720">
        <v>20000</v>
      </c>
      <c r="E23" s="720">
        <v>20000</v>
      </c>
      <c r="F23" s="720">
        <v>20000</v>
      </c>
      <c r="G23" s="720">
        <v>20000</v>
      </c>
      <c r="H23" s="746">
        <f t="shared" si="0"/>
        <v>1</v>
      </c>
      <c r="I23" s="497" t="s">
        <v>1104</v>
      </c>
    </row>
    <row r="24" spans="1:9" s="13" customFormat="1" ht="12.75" customHeight="1" thickBot="1">
      <c r="A24" s="62">
        <v>3920</v>
      </c>
      <c r="B24" s="35" t="s">
        <v>186</v>
      </c>
      <c r="C24" s="721">
        <f>SUM(C12:C17)+C23</f>
        <v>840369</v>
      </c>
      <c r="D24" s="721">
        <f>SUM(D12:D17)+D23</f>
        <v>1057919</v>
      </c>
      <c r="E24" s="721">
        <f>SUM(E12:E17)+E23</f>
        <v>1067919</v>
      </c>
      <c r="F24" s="721">
        <f>SUM(F12:F17)+F23</f>
        <v>1067919</v>
      </c>
      <c r="G24" s="721">
        <f>SUM(G12:G17)+G23</f>
        <v>1067919</v>
      </c>
      <c r="H24" s="1206">
        <f t="shared" si="0"/>
        <v>1</v>
      </c>
      <c r="I24" s="605"/>
    </row>
    <row r="25" spans="1:9" s="13" customFormat="1" ht="12.75" customHeight="1">
      <c r="A25" s="11"/>
      <c r="B25" s="37" t="s">
        <v>131</v>
      </c>
      <c r="C25" s="718"/>
      <c r="D25" s="718"/>
      <c r="E25" s="718"/>
      <c r="F25" s="718"/>
      <c r="G25" s="718"/>
      <c r="H25" s="631"/>
      <c r="I25" s="606"/>
    </row>
    <row r="26" spans="1:9" s="13" customFormat="1" ht="12.75" customHeight="1">
      <c r="A26" s="65">
        <v>3931</v>
      </c>
      <c r="B26" s="85" t="s">
        <v>164</v>
      </c>
      <c r="C26" s="588">
        <v>5000</v>
      </c>
      <c r="D26" s="588">
        <v>5000</v>
      </c>
      <c r="E26" s="588">
        <v>5000</v>
      </c>
      <c r="F26" s="588">
        <v>5000</v>
      </c>
      <c r="G26" s="588">
        <v>5000</v>
      </c>
      <c r="H26" s="631">
        <f t="shared" si="0"/>
        <v>1</v>
      </c>
      <c r="I26" s="742"/>
    </row>
    <row r="27" spans="1:9" s="13" customFormat="1" ht="12.75" customHeight="1">
      <c r="A27" s="65">
        <v>3932</v>
      </c>
      <c r="B27" s="85" t="s">
        <v>197</v>
      </c>
      <c r="C27" s="588">
        <v>12500</v>
      </c>
      <c r="D27" s="588">
        <v>12500</v>
      </c>
      <c r="E27" s="588">
        <v>12500</v>
      </c>
      <c r="F27" s="588">
        <v>12500</v>
      </c>
      <c r="G27" s="588">
        <v>12500</v>
      </c>
      <c r="H27" s="631">
        <f t="shared" si="0"/>
        <v>1</v>
      </c>
      <c r="I27" s="607"/>
    </row>
    <row r="28" spans="1:9" s="13" customFormat="1" ht="12.75" customHeight="1" thickBot="1">
      <c r="A28" s="65">
        <v>3934</v>
      </c>
      <c r="B28" s="85" t="s">
        <v>448</v>
      </c>
      <c r="C28" s="720">
        <v>5000</v>
      </c>
      <c r="D28" s="720">
        <v>5000</v>
      </c>
      <c r="E28" s="720">
        <v>5000</v>
      </c>
      <c r="F28" s="720">
        <v>5000</v>
      </c>
      <c r="G28" s="720">
        <v>5000</v>
      </c>
      <c r="H28" s="746">
        <f t="shared" si="0"/>
        <v>1</v>
      </c>
      <c r="I28" s="607"/>
    </row>
    <row r="29" spans="1:9" s="13" customFormat="1" ht="12.75" customHeight="1" thickBot="1">
      <c r="A29" s="62">
        <v>3930</v>
      </c>
      <c r="B29" s="35" t="s">
        <v>186</v>
      </c>
      <c r="C29" s="721">
        <f>SUM(C26:C28)</f>
        <v>22500</v>
      </c>
      <c r="D29" s="721">
        <f>SUM(D26:D28)</f>
        <v>22500</v>
      </c>
      <c r="E29" s="721">
        <f>SUM(E26:E28)</f>
        <v>22500</v>
      </c>
      <c r="F29" s="721">
        <f>SUM(F26:F28)</f>
        <v>22500</v>
      </c>
      <c r="G29" s="721">
        <f>SUM(G26:G28)</f>
        <v>22500</v>
      </c>
      <c r="H29" s="1206">
        <f t="shared" si="0"/>
        <v>1</v>
      </c>
      <c r="I29" s="608"/>
    </row>
    <row r="30" spans="1:9" ht="12.75" customHeight="1">
      <c r="A30" s="11"/>
      <c r="B30" s="37" t="s">
        <v>60</v>
      </c>
      <c r="C30" s="722"/>
      <c r="D30" s="722"/>
      <c r="E30" s="722"/>
      <c r="F30" s="722"/>
      <c r="G30" s="722"/>
      <c r="H30" s="631"/>
      <c r="I30" s="609"/>
    </row>
    <row r="31" spans="1:9" ht="12.75" customHeight="1">
      <c r="A31" s="41">
        <v>3941</v>
      </c>
      <c r="B31" s="34" t="s">
        <v>505</v>
      </c>
      <c r="C31" s="719">
        <v>305160</v>
      </c>
      <c r="D31" s="719">
        <v>305160</v>
      </c>
      <c r="E31" s="719">
        <v>305160</v>
      </c>
      <c r="F31" s="719">
        <v>305160</v>
      </c>
      <c r="G31" s="719">
        <v>305160</v>
      </c>
      <c r="H31" s="631">
        <f t="shared" si="0"/>
        <v>1</v>
      </c>
      <c r="I31" s="742"/>
    </row>
    <row r="32" spans="1:9" ht="12.75" customHeight="1">
      <c r="A32" s="41">
        <v>3942</v>
      </c>
      <c r="B32" s="34" t="s">
        <v>453</v>
      </c>
      <c r="C32" s="719">
        <v>8000</v>
      </c>
      <c r="D32" s="719">
        <v>9000</v>
      </c>
      <c r="E32" s="719">
        <v>9000</v>
      </c>
      <c r="F32" s="719">
        <v>9000</v>
      </c>
      <c r="G32" s="719">
        <v>9000</v>
      </c>
      <c r="H32" s="631">
        <f t="shared" si="0"/>
        <v>1</v>
      </c>
      <c r="I32" s="603" t="s">
        <v>24</v>
      </c>
    </row>
    <row r="33" spans="1:9" ht="12.75" customHeight="1">
      <c r="A33" s="41">
        <v>3943</v>
      </c>
      <c r="B33" s="34" t="s">
        <v>6</v>
      </c>
      <c r="C33" s="719">
        <v>2000</v>
      </c>
      <c r="D33" s="719">
        <v>2000</v>
      </c>
      <c r="E33" s="719">
        <v>2000</v>
      </c>
      <c r="F33" s="719">
        <v>2000</v>
      </c>
      <c r="G33" s="719">
        <v>2000</v>
      </c>
      <c r="H33" s="631">
        <f t="shared" si="0"/>
        <v>1</v>
      </c>
      <c r="I33" s="603" t="s">
        <v>24</v>
      </c>
    </row>
    <row r="34" spans="1:9" ht="12.75" customHeight="1">
      <c r="A34" s="41"/>
      <c r="B34" s="191" t="s">
        <v>415</v>
      </c>
      <c r="C34" s="652">
        <v>1300</v>
      </c>
      <c r="D34" s="652">
        <v>1300</v>
      </c>
      <c r="E34" s="652">
        <v>1300</v>
      </c>
      <c r="F34" s="652">
        <v>1300</v>
      </c>
      <c r="G34" s="652">
        <v>1300</v>
      </c>
      <c r="H34" s="631">
        <f t="shared" si="0"/>
        <v>1</v>
      </c>
      <c r="I34" s="603"/>
    </row>
    <row r="35" spans="1:9" ht="12.75" customHeight="1">
      <c r="A35" s="41"/>
      <c r="B35" s="191" t="s">
        <v>416</v>
      </c>
      <c r="C35" s="652">
        <v>700</v>
      </c>
      <c r="D35" s="652">
        <v>700</v>
      </c>
      <c r="E35" s="652">
        <v>700</v>
      </c>
      <c r="F35" s="652">
        <v>700</v>
      </c>
      <c r="G35" s="652">
        <v>700</v>
      </c>
      <c r="H35" s="631">
        <f t="shared" si="0"/>
        <v>1</v>
      </c>
      <c r="I35" s="603"/>
    </row>
    <row r="36" spans="1:9" ht="12.75" customHeight="1">
      <c r="A36" s="41"/>
      <c r="B36" s="743" t="s">
        <v>414</v>
      </c>
      <c r="C36" s="652"/>
      <c r="D36" s="652"/>
      <c r="E36" s="652"/>
      <c r="F36" s="652"/>
      <c r="G36" s="652"/>
      <c r="H36" s="631"/>
      <c r="I36" s="603"/>
    </row>
    <row r="37" spans="1:9" ht="12.75" customHeight="1" thickBot="1">
      <c r="A37" s="41">
        <v>3944</v>
      </c>
      <c r="B37" s="85" t="s">
        <v>450</v>
      </c>
      <c r="C37" s="720">
        <v>57365</v>
      </c>
      <c r="D37" s="720">
        <v>57365</v>
      </c>
      <c r="E37" s="720">
        <v>57365</v>
      </c>
      <c r="F37" s="720">
        <v>57365</v>
      </c>
      <c r="G37" s="720">
        <v>57365</v>
      </c>
      <c r="H37" s="746">
        <f t="shared" si="0"/>
        <v>1</v>
      </c>
      <c r="I37" s="603"/>
    </row>
    <row r="38" spans="1:9" s="13" customFormat="1" ht="12.75" customHeight="1" thickBot="1">
      <c r="A38" s="62">
        <v>3940</v>
      </c>
      <c r="B38" s="35" t="s">
        <v>184</v>
      </c>
      <c r="C38" s="721">
        <f>SUM(C31:C33)+C37</f>
        <v>372525</v>
      </c>
      <c r="D38" s="721">
        <f>SUM(D31:D33)+D37</f>
        <v>373525</v>
      </c>
      <c r="E38" s="721">
        <f>SUM(E31:E33)+E37</f>
        <v>373525</v>
      </c>
      <c r="F38" s="721">
        <f>SUM(F31:F33)+F37</f>
        <v>373525</v>
      </c>
      <c r="G38" s="721">
        <f>SUM(G31:G33)+G37</f>
        <v>373525</v>
      </c>
      <c r="H38" s="1206">
        <f t="shared" si="0"/>
        <v>1</v>
      </c>
      <c r="I38" s="610"/>
    </row>
    <row r="39" spans="1:9" s="13" customFormat="1" ht="12.75" customHeight="1">
      <c r="A39" s="202"/>
      <c r="B39" s="203" t="s">
        <v>59</v>
      </c>
      <c r="C39" s="723"/>
      <c r="D39" s="723"/>
      <c r="E39" s="723"/>
      <c r="F39" s="723"/>
      <c r="G39" s="723"/>
      <c r="H39" s="631"/>
      <c r="I39" s="611"/>
    </row>
    <row r="40" spans="1:9" s="13" customFormat="1" ht="12.75" customHeight="1">
      <c r="A40" s="64">
        <v>3961</v>
      </c>
      <c r="B40" s="82" t="s">
        <v>418</v>
      </c>
      <c r="C40" s="724">
        <v>215900</v>
      </c>
      <c r="D40" s="724">
        <v>215900</v>
      </c>
      <c r="E40" s="724">
        <v>215900</v>
      </c>
      <c r="F40" s="724">
        <v>215900</v>
      </c>
      <c r="G40" s="724">
        <v>215900</v>
      </c>
      <c r="H40" s="631">
        <f t="shared" si="0"/>
        <v>1</v>
      </c>
      <c r="I40" s="742"/>
    </row>
    <row r="41" spans="1:9" s="13" customFormat="1" ht="12.75" customHeight="1">
      <c r="A41" s="64">
        <v>3962</v>
      </c>
      <c r="B41" s="290" t="s">
        <v>375</v>
      </c>
      <c r="C41" s="724">
        <v>50000</v>
      </c>
      <c r="D41" s="724">
        <v>50000</v>
      </c>
      <c r="E41" s="724">
        <v>50000</v>
      </c>
      <c r="F41" s="724">
        <v>50000</v>
      </c>
      <c r="G41" s="724">
        <v>50000</v>
      </c>
      <c r="H41" s="631">
        <f t="shared" si="0"/>
        <v>1</v>
      </c>
      <c r="I41" s="742"/>
    </row>
    <row r="42" spans="1:9" s="13" customFormat="1" ht="12.75" customHeight="1">
      <c r="A42" s="64">
        <v>3963</v>
      </c>
      <c r="B42" s="290" t="s">
        <v>1127</v>
      </c>
      <c r="C42" s="724">
        <v>41900</v>
      </c>
      <c r="D42" s="724">
        <v>41900</v>
      </c>
      <c r="E42" s="724">
        <v>41900</v>
      </c>
      <c r="F42" s="724">
        <v>41900</v>
      </c>
      <c r="G42" s="724">
        <v>41900</v>
      </c>
      <c r="H42" s="631">
        <f t="shared" si="0"/>
        <v>1</v>
      </c>
      <c r="I42" s="742"/>
    </row>
    <row r="43" spans="1:9" s="13" customFormat="1" ht="12.75" customHeight="1" thickBot="1">
      <c r="A43" s="64">
        <v>3972</v>
      </c>
      <c r="B43" s="207" t="s">
        <v>454</v>
      </c>
      <c r="C43" s="724">
        <v>20000</v>
      </c>
      <c r="D43" s="724">
        <v>20000</v>
      </c>
      <c r="E43" s="724">
        <v>16750</v>
      </c>
      <c r="F43" s="724">
        <v>16750</v>
      </c>
      <c r="G43" s="724">
        <v>16750</v>
      </c>
      <c r="H43" s="746">
        <f t="shared" si="0"/>
        <v>1</v>
      </c>
      <c r="I43" s="602" t="s">
        <v>401</v>
      </c>
    </row>
    <row r="44" spans="1:9" s="13" customFormat="1" ht="12.75" customHeight="1" thickBot="1">
      <c r="A44" s="204">
        <v>3970</v>
      </c>
      <c r="B44" s="205" t="s">
        <v>159</v>
      </c>
      <c r="C44" s="725">
        <f>SUM(C40:C43)</f>
        <v>327800</v>
      </c>
      <c r="D44" s="725">
        <f>SUM(D40:D43)</f>
        <v>327800</v>
      </c>
      <c r="E44" s="725">
        <f>SUM(E40:E43)</f>
        <v>324550</v>
      </c>
      <c r="F44" s="725">
        <f>SUM(F40:F43)</f>
        <v>324550</v>
      </c>
      <c r="G44" s="725">
        <f>SUM(G40:G43)</f>
        <v>324550</v>
      </c>
      <c r="H44" s="1206">
        <f t="shared" si="0"/>
        <v>1</v>
      </c>
      <c r="I44" s="610"/>
    </row>
    <row r="45" spans="1:9" s="13" customFormat="1" ht="12.75" customHeight="1">
      <c r="A45" s="206"/>
      <c r="B45" s="208" t="s">
        <v>274</v>
      </c>
      <c r="C45" s="723"/>
      <c r="D45" s="723"/>
      <c r="E45" s="723"/>
      <c r="F45" s="723"/>
      <c r="G45" s="723"/>
      <c r="H45" s="631"/>
      <c r="I45" s="601"/>
    </row>
    <row r="46" spans="1:9" s="13" customFormat="1" ht="12.75" customHeight="1">
      <c r="A46" s="64">
        <v>3988</v>
      </c>
      <c r="B46" s="82" t="s">
        <v>16</v>
      </c>
      <c r="C46" s="724">
        <v>800</v>
      </c>
      <c r="D46" s="724">
        <v>800</v>
      </c>
      <c r="E46" s="724">
        <v>800</v>
      </c>
      <c r="F46" s="724">
        <v>800</v>
      </c>
      <c r="G46" s="724">
        <v>800</v>
      </c>
      <c r="H46" s="631">
        <f t="shared" si="0"/>
        <v>1</v>
      </c>
      <c r="I46" s="612"/>
    </row>
    <row r="47" spans="1:9" s="13" customFormat="1" ht="12.75" customHeight="1">
      <c r="A47" s="64">
        <v>3989</v>
      </c>
      <c r="B47" s="82" t="s">
        <v>377</v>
      </c>
      <c r="C47" s="724">
        <v>6000</v>
      </c>
      <c r="D47" s="724">
        <v>6000</v>
      </c>
      <c r="E47" s="724">
        <v>6000</v>
      </c>
      <c r="F47" s="724">
        <v>6000</v>
      </c>
      <c r="G47" s="724">
        <v>6000</v>
      </c>
      <c r="H47" s="631">
        <f t="shared" si="0"/>
        <v>1</v>
      </c>
      <c r="I47" s="602" t="s">
        <v>401</v>
      </c>
    </row>
    <row r="48" spans="1:9" s="13" customFormat="1" ht="12.75" customHeight="1">
      <c r="A48" s="65">
        <v>3990</v>
      </c>
      <c r="B48" s="85" t="s">
        <v>325</v>
      </c>
      <c r="C48" s="588">
        <v>1000</v>
      </c>
      <c r="D48" s="588">
        <v>1000</v>
      </c>
      <c r="E48" s="588">
        <v>1000</v>
      </c>
      <c r="F48" s="588">
        <v>1000</v>
      </c>
      <c r="G48" s="588">
        <v>1000</v>
      </c>
      <c r="H48" s="631">
        <f t="shared" si="0"/>
        <v>1</v>
      </c>
      <c r="I48" s="612"/>
    </row>
    <row r="49" spans="1:9" s="13" customFormat="1" ht="12.75" customHeight="1">
      <c r="A49" s="65">
        <v>3991</v>
      </c>
      <c r="B49" s="85" t="s">
        <v>371</v>
      </c>
      <c r="C49" s="588">
        <v>4820</v>
      </c>
      <c r="D49" s="588">
        <v>4820</v>
      </c>
      <c r="E49" s="588">
        <v>4820</v>
      </c>
      <c r="F49" s="588">
        <v>4820</v>
      </c>
      <c r="G49" s="588">
        <v>4820</v>
      </c>
      <c r="H49" s="631">
        <f t="shared" si="0"/>
        <v>1</v>
      </c>
      <c r="I49" s="612"/>
    </row>
    <row r="50" spans="1:9" s="13" customFormat="1" ht="12.75" customHeight="1">
      <c r="A50" s="65">
        <v>3992</v>
      </c>
      <c r="B50" s="85" t="s">
        <v>326</v>
      </c>
      <c r="C50" s="588">
        <v>1400</v>
      </c>
      <c r="D50" s="588">
        <v>1400</v>
      </c>
      <c r="E50" s="588">
        <v>1400</v>
      </c>
      <c r="F50" s="588">
        <v>1400</v>
      </c>
      <c r="G50" s="588">
        <v>1400</v>
      </c>
      <c r="H50" s="631">
        <f t="shared" si="0"/>
        <v>1</v>
      </c>
      <c r="I50" s="612"/>
    </row>
    <row r="51" spans="1:9" s="13" customFormat="1" ht="12.75" customHeight="1">
      <c r="A51" s="65">
        <v>3993</v>
      </c>
      <c r="B51" s="85" t="s">
        <v>327</v>
      </c>
      <c r="C51" s="588">
        <v>900</v>
      </c>
      <c r="D51" s="588">
        <v>900</v>
      </c>
      <c r="E51" s="588">
        <v>900</v>
      </c>
      <c r="F51" s="588">
        <v>900</v>
      </c>
      <c r="G51" s="588">
        <v>900</v>
      </c>
      <c r="H51" s="631">
        <f t="shared" si="0"/>
        <v>1</v>
      </c>
      <c r="I51" s="612"/>
    </row>
    <row r="52" spans="1:9" s="13" customFormat="1" ht="12.75" customHeight="1">
      <c r="A52" s="65">
        <v>3994</v>
      </c>
      <c r="B52" s="85" t="s">
        <v>108</v>
      </c>
      <c r="C52" s="588">
        <v>900</v>
      </c>
      <c r="D52" s="588">
        <v>900</v>
      </c>
      <c r="E52" s="588">
        <v>900</v>
      </c>
      <c r="F52" s="588">
        <v>900</v>
      </c>
      <c r="G52" s="588">
        <v>900</v>
      </c>
      <c r="H52" s="631">
        <f t="shared" si="0"/>
        <v>1</v>
      </c>
      <c r="I52" s="612"/>
    </row>
    <row r="53" spans="1:9" s="13" customFormat="1" ht="12.75" customHeight="1">
      <c r="A53" s="65">
        <v>3995</v>
      </c>
      <c r="B53" s="85" t="s">
        <v>109</v>
      </c>
      <c r="C53" s="588">
        <v>900</v>
      </c>
      <c r="D53" s="588">
        <v>900</v>
      </c>
      <c r="E53" s="588">
        <v>900</v>
      </c>
      <c r="F53" s="588">
        <v>900</v>
      </c>
      <c r="G53" s="588">
        <v>900</v>
      </c>
      <c r="H53" s="631">
        <f t="shared" si="0"/>
        <v>1</v>
      </c>
      <c r="I53" s="612"/>
    </row>
    <row r="54" spans="1:9" s="13" customFormat="1" ht="12.75" customHeight="1">
      <c r="A54" s="65">
        <v>3997</v>
      </c>
      <c r="B54" s="85" t="s">
        <v>110</v>
      </c>
      <c r="C54" s="588">
        <v>900</v>
      </c>
      <c r="D54" s="588">
        <v>900</v>
      </c>
      <c r="E54" s="588">
        <v>900</v>
      </c>
      <c r="F54" s="588">
        <v>900</v>
      </c>
      <c r="G54" s="588">
        <v>900</v>
      </c>
      <c r="H54" s="631">
        <f t="shared" si="0"/>
        <v>1</v>
      </c>
      <c r="I54" s="612"/>
    </row>
    <row r="55" spans="1:9" s="13" customFormat="1" ht="12.75" customHeight="1">
      <c r="A55" s="65">
        <v>3998</v>
      </c>
      <c r="B55" s="85" t="s">
        <v>111</v>
      </c>
      <c r="C55" s="588">
        <v>900</v>
      </c>
      <c r="D55" s="588">
        <v>900</v>
      </c>
      <c r="E55" s="588">
        <v>900</v>
      </c>
      <c r="F55" s="588">
        <v>900</v>
      </c>
      <c r="G55" s="588">
        <v>900</v>
      </c>
      <c r="H55" s="631">
        <f t="shared" si="0"/>
        <v>1</v>
      </c>
      <c r="I55" s="612"/>
    </row>
    <row r="56" spans="1:9" s="13" customFormat="1" ht="12.75" customHeight="1" thickBot="1">
      <c r="A56" s="99">
        <v>3999</v>
      </c>
      <c r="B56" s="85" t="s">
        <v>112</v>
      </c>
      <c r="C56" s="720">
        <v>1000</v>
      </c>
      <c r="D56" s="720">
        <v>1000</v>
      </c>
      <c r="E56" s="720">
        <v>1000</v>
      </c>
      <c r="F56" s="720">
        <v>1000</v>
      </c>
      <c r="G56" s="720">
        <v>1000</v>
      </c>
      <c r="H56" s="746">
        <f t="shared" si="0"/>
        <v>1</v>
      </c>
      <c r="I56" s="612"/>
    </row>
    <row r="57" spans="1:9" s="13" customFormat="1" ht="12.75" customHeight="1" thickBot="1">
      <c r="A57" s="62"/>
      <c r="B57" s="35" t="s">
        <v>159</v>
      </c>
      <c r="C57" s="721">
        <f>SUM(C46:C56)</f>
        <v>19520</v>
      </c>
      <c r="D57" s="721">
        <f>SUM(D46:D56)</f>
        <v>19520</v>
      </c>
      <c r="E57" s="721">
        <f>SUM(E46:E56)</f>
        <v>19520</v>
      </c>
      <c r="F57" s="721">
        <f>SUM(F46:F56)</f>
        <v>19520</v>
      </c>
      <c r="G57" s="721">
        <f>SUM(G46:G56)</f>
        <v>19520</v>
      </c>
      <c r="H57" s="1206">
        <f t="shared" si="0"/>
        <v>1</v>
      </c>
      <c r="I57" s="610"/>
    </row>
    <row r="58" spans="1:9" s="13" customFormat="1" ht="12.75" customHeight="1" thickBot="1">
      <c r="A58" s="62">
        <v>3900</v>
      </c>
      <c r="B58" s="35" t="s">
        <v>153</v>
      </c>
      <c r="C58" s="721">
        <f>C38+C24+C10+C29+C44+C57</f>
        <v>1597714</v>
      </c>
      <c r="D58" s="721">
        <f>D38+D24+D10+D29+D44+D57</f>
        <v>1816264</v>
      </c>
      <c r="E58" s="721">
        <f>E38+E24+E10+E29+E44+E57</f>
        <v>1823014</v>
      </c>
      <c r="F58" s="721">
        <f>F38+F24+F10+F29+F44+F57</f>
        <v>1823014</v>
      </c>
      <c r="G58" s="721">
        <f>G38+G24+G10+G29+G44+G57</f>
        <v>1823014</v>
      </c>
      <c r="H58" s="1206">
        <f t="shared" si="0"/>
        <v>1</v>
      </c>
      <c r="I58" s="610"/>
    </row>
    <row r="59" spans="1:9" s="13" customFormat="1" ht="12.75" customHeight="1">
      <c r="A59" s="45"/>
      <c r="B59" s="82" t="s">
        <v>181</v>
      </c>
      <c r="C59" s="588">
        <f aca="true" t="shared" si="1" ref="C59:E60">SUM(C34)</f>
        <v>1300</v>
      </c>
      <c r="D59" s="588">
        <f t="shared" si="1"/>
        <v>1300</v>
      </c>
      <c r="E59" s="588">
        <f t="shared" si="1"/>
        <v>1300</v>
      </c>
      <c r="F59" s="588">
        <f>SUM(F34)</f>
        <v>1300</v>
      </c>
      <c r="G59" s="588">
        <f>SUM(G34)</f>
        <v>1300</v>
      </c>
      <c r="H59" s="631">
        <f t="shared" si="0"/>
        <v>1</v>
      </c>
      <c r="I59" s="606"/>
    </row>
    <row r="60" spans="1:9" s="13" customFormat="1" ht="12.75" customHeight="1">
      <c r="A60" s="45"/>
      <c r="B60" s="24" t="s">
        <v>115</v>
      </c>
      <c r="C60" s="588">
        <f t="shared" si="1"/>
        <v>700</v>
      </c>
      <c r="D60" s="588">
        <f t="shared" si="1"/>
        <v>700</v>
      </c>
      <c r="E60" s="588">
        <f t="shared" si="1"/>
        <v>700</v>
      </c>
      <c r="F60" s="588">
        <f>SUM(F35)</f>
        <v>700</v>
      </c>
      <c r="G60" s="588">
        <f>SUM(G35)</f>
        <v>700</v>
      </c>
      <c r="H60" s="631">
        <f t="shared" si="0"/>
        <v>1</v>
      </c>
      <c r="I60" s="606"/>
    </row>
    <row r="61" spans="1:9" s="13" customFormat="1" ht="12.75" customHeight="1">
      <c r="A61" s="45"/>
      <c r="B61" s="82" t="s">
        <v>311</v>
      </c>
      <c r="C61" s="588">
        <f>SUM(C19)</f>
        <v>2000</v>
      </c>
      <c r="D61" s="588">
        <f>SUM(D19)</f>
        <v>2041</v>
      </c>
      <c r="E61" s="588">
        <f>SUM(E19)</f>
        <v>2041</v>
      </c>
      <c r="F61" s="588">
        <f>SUM(F19)</f>
        <v>2041</v>
      </c>
      <c r="G61" s="588">
        <f>SUM(G19)</f>
        <v>2041</v>
      </c>
      <c r="H61" s="631">
        <f t="shared" si="0"/>
        <v>1</v>
      </c>
      <c r="I61" s="606"/>
    </row>
    <row r="62" spans="1:9" s="13" customFormat="1" ht="12.75" customHeight="1">
      <c r="A62" s="44"/>
      <c r="B62" s="24" t="s">
        <v>308</v>
      </c>
      <c r="C62" s="719">
        <f>SUM(C10+C24+C29+C38+C44+C57)-C64-C59-C60-C61-C63</f>
        <v>1161654</v>
      </c>
      <c r="D62" s="719">
        <f>SUM(D10+D24+D29+D38+D44+D57)-D64-D59-D60-D61-D63</f>
        <v>1169254</v>
      </c>
      <c r="E62" s="719">
        <f>SUM(E10+E24+E29+E38+E44+E57)-E64-E59-E60-E61-E63</f>
        <v>1172004</v>
      </c>
      <c r="F62" s="719">
        <f>SUM(F10+F24+F29+F38+F44+F57)-F64-F59-F60-F61-F63</f>
        <v>1172004</v>
      </c>
      <c r="G62" s="719">
        <f>SUM(G10+G24+G29+G38+G44+G57)-G64-G59-G60-G61-G63</f>
        <v>1172004</v>
      </c>
      <c r="H62" s="631">
        <f t="shared" si="0"/>
        <v>1</v>
      </c>
      <c r="I62" s="606"/>
    </row>
    <row r="63" spans="1:9" s="13" customFormat="1" ht="12.75" customHeight="1">
      <c r="A63" s="44"/>
      <c r="B63" s="24" t="s">
        <v>21</v>
      </c>
      <c r="C63" s="719">
        <f>SUM(C21)</f>
        <v>10000</v>
      </c>
      <c r="D63" s="719">
        <f>SUM(D21)</f>
        <v>10000</v>
      </c>
      <c r="E63" s="719">
        <f>SUM(E21)</f>
        <v>14000</v>
      </c>
      <c r="F63" s="719">
        <f>SUM(F21)</f>
        <v>14000</v>
      </c>
      <c r="G63" s="719">
        <f>SUM(G21)</f>
        <v>14000</v>
      </c>
      <c r="H63" s="631">
        <f t="shared" si="0"/>
        <v>1</v>
      </c>
      <c r="I63" s="606"/>
    </row>
    <row r="64" spans="1:9" s="13" customFormat="1" ht="12.75" customHeight="1">
      <c r="A64" s="44"/>
      <c r="B64" s="89" t="s">
        <v>286</v>
      </c>
      <c r="C64" s="719">
        <f>SUM(C9+C23+C22+C36+C37+C16)</f>
        <v>422060</v>
      </c>
      <c r="D64" s="719">
        <f>SUM(D9+D23+D22+D36+D37+D16)</f>
        <v>632969</v>
      </c>
      <c r="E64" s="719">
        <f>SUM(E9+E23+E22+E36+E37+E16)</f>
        <v>632969</v>
      </c>
      <c r="F64" s="719">
        <f>SUM(F9+F23+F22+F36+F37+F16)</f>
        <v>632969</v>
      </c>
      <c r="G64" s="719">
        <f>SUM(G9+G23+G22+G36+G37+G16)</f>
        <v>632969</v>
      </c>
      <c r="H64" s="631">
        <f t="shared" si="0"/>
        <v>1</v>
      </c>
      <c r="I64" s="613"/>
    </row>
    <row r="65" spans="1:9" s="13" customFormat="1" ht="12.75" customHeight="1">
      <c r="A65" s="218"/>
      <c r="B65" s="219" t="s">
        <v>1129</v>
      </c>
      <c r="C65" s="726">
        <f>SUM(C59:C64)</f>
        <v>1597714</v>
      </c>
      <c r="D65" s="726">
        <f>SUM(D59:D64)</f>
        <v>1816264</v>
      </c>
      <c r="E65" s="726">
        <f>SUM(E59:E64)</f>
        <v>1823014</v>
      </c>
      <c r="F65" s="726">
        <f>SUM(F59:F64)</f>
        <v>1823014</v>
      </c>
      <c r="G65" s="726">
        <f>SUM(G59:G64)</f>
        <v>1823014</v>
      </c>
      <c r="H65" s="1205">
        <f t="shared" si="0"/>
        <v>1</v>
      </c>
      <c r="I65" s="613"/>
    </row>
    <row r="66" spans="1:9" ht="12.75" customHeight="1">
      <c r="A66" s="39"/>
      <c r="B66" s="40"/>
      <c r="C66" s="18"/>
      <c r="D66" s="18"/>
      <c r="E66" s="18"/>
      <c r="F66" s="18"/>
      <c r="G66" s="18"/>
      <c r="H66" s="18"/>
      <c r="I66" s="40"/>
    </row>
    <row r="67" ht="12.75" customHeight="1">
      <c r="A67" s="54"/>
    </row>
  </sheetData>
  <sheetProtection/>
  <mergeCells count="8">
    <mergeCell ref="H4:H6"/>
    <mergeCell ref="A2:I2"/>
    <mergeCell ref="A1:I1"/>
    <mergeCell ref="C4:C6"/>
    <mergeCell ref="D4:D6"/>
    <mergeCell ref="E4:E6"/>
    <mergeCell ref="F4:F6"/>
    <mergeCell ref="G4:G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1"/>
  <sheetViews>
    <sheetView showZeros="0" zoomScalePageLayoutView="0" workbookViewId="0" topLeftCell="A46">
      <selection activeCell="G86" sqref="G86"/>
    </sheetView>
  </sheetViews>
  <sheetFormatPr defaultColWidth="9.00390625" defaultRowHeight="12.75" customHeight="1"/>
  <cols>
    <col min="1" max="1" width="5.875" style="39" customWidth="1"/>
    <col min="2" max="2" width="66.125" style="40" customWidth="1"/>
    <col min="3" max="7" width="12.125" style="46" customWidth="1"/>
    <col min="8" max="8" width="9.125" style="46" customWidth="1"/>
    <col min="9" max="9" width="66.875" style="40" customWidth="1"/>
    <col min="10" max="16384" width="9.125" style="40" customWidth="1"/>
  </cols>
  <sheetData>
    <row r="1" spans="1:9" s="16" customFormat="1" ht="12.75" customHeight="1">
      <c r="A1" s="1314" t="s">
        <v>154</v>
      </c>
      <c r="B1" s="1310"/>
      <c r="C1" s="1310"/>
      <c r="D1" s="1310"/>
      <c r="E1" s="1310"/>
      <c r="F1" s="1310"/>
      <c r="G1" s="1310"/>
      <c r="H1" s="1310"/>
      <c r="I1" s="1310"/>
    </row>
    <row r="2" spans="1:9" s="16" customFormat="1" ht="12.75" customHeight="1">
      <c r="A2" s="1309" t="s">
        <v>1077</v>
      </c>
      <c r="B2" s="1310"/>
      <c r="C2" s="1310"/>
      <c r="D2" s="1310"/>
      <c r="E2" s="1310"/>
      <c r="F2" s="1310"/>
      <c r="G2" s="1310"/>
      <c r="H2" s="1310"/>
      <c r="I2" s="1310"/>
    </row>
    <row r="3" spans="1:9" s="16" customFormat="1" ht="12.75" customHeight="1">
      <c r="A3" s="63"/>
      <c r="B3" s="63"/>
      <c r="C3" s="1312"/>
      <c r="D3" s="1312"/>
      <c r="E3" s="1312"/>
      <c r="F3" s="1312"/>
      <c r="G3" s="1312"/>
      <c r="H3" s="1312"/>
      <c r="I3" s="1313"/>
    </row>
    <row r="4" spans="1:9" ht="10.5" customHeight="1">
      <c r="A4" s="354"/>
      <c r="B4" s="351"/>
      <c r="C4" s="508"/>
      <c r="D4" s="508"/>
      <c r="E4" s="508"/>
      <c r="F4" s="508"/>
      <c r="G4" s="508"/>
      <c r="H4" s="508"/>
      <c r="I4" s="509" t="s">
        <v>191</v>
      </c>
    </row>
    <row r="5" spans="1:9" ht="12.75" customHeight="1">
      <c r="A5" s="498"/>
      <c r="B5" s="510"/>
      <c r="C5" s="1286" t="s">
        <v>1130</v>
      </c>
      <c r="D5" s="1286" t="s">
        <v>1187</v>
      </c>
      <c r="E5" s="1286" t="s">
        <v>1203</v>
      </c>
      <c r="F5" s="1286" t="s">
        <v>1224</v>
      </c>
      <c r="G5" s="1286" t="s">
        <v>1229</v>
      </c>
      <c r="H5" s="1286" t="s">
        <v>1233</v>
      </c>
      <c r="I5" s="511"/>
    </row>
    <row r="6" spans="1:9" ht="12" customHeight="1">
      <c r="A6" s="359" t="s">
        <v>293</v>
      </c>
      <c r="B6" s="512" t="s">
        <v>150</v>
      </c>
      <c r="C6" s="1287"/>
      <c r="D6" s="1287"/>
      <c r="E6" s="1287"/>
      <c r="F6" s="1287"/>
      <c r="G6" s="1287"/>
      <c r="H6" s="1315"/>
      <c r="I6" s="418" t="s">
        <v>151</v>
      </c>
    </row>
    <row r="7" spans="1:9" ht="12.75" customHeight="1" thickBot="1">
      <c r="A7" s="513"/>
      <c r="B7" s="514"/>
      <c r="C7" s="1294"/>
      <c r="D7" s="1294"/>
      <c r="E7" s="1294"/>
      <c r="F7" s="1294"/>
      <c r="G7" s="1294"/>
      <c r="H7" s="1316"/>
      <c r="I7" s="382" t="s">
        <v>152</v>
      </c>
    </row>
    <row r="8" spans="1:9" ht="12.75" customHeight="1">
      <c r="A8" s="515" t="s">
        <v>172</v>
      </c>
      <c r="B8" s="364" t="s">
        <v>173</v>
      </c>
      <c r="C8" s="516" t="s">
        <v>174</v>
      </c>
      <c r="D8" s="516" t="s">
        <v>175</v>
      </c>
      <c r="E8" s="516" t="s">
        <v>176</v>
      </c>
      <c r="F8" s="516" t="s">
        <v>47</v>
      </c>
      <c r="G8" s="516" t="s">
        <v>386</v>
      </c>
      <c r="H8" s="516" t="s">
        <v>618</v>
      </c>
      <c r="I8" s="419" t="s">
        <v>620</v>
      </c>
    </row>
    <row r="9" spans="1:9" ht="16.5" customHeight="1">
      <c r="A9" s="466"/>
      <c r="B9" s="517" t="s">
        <v>281</v>
      </c>
      <c r="C9" s="423"/>
      <c r="D9" s="423"/>
      <c r="E9" s="423"/>
      <c r="F9" s="423"/>
      <c r="G9" s="423"/>
      <c r="H9" s="423"/>
      <c r="I9" s="518"/>
    </row>
    <row r="10" spans="1:9" ht="12">
      <c r="A10" s="359"/>
      <c r="B10" s="519" t="s">
        <v>270</v>
      </c>
      <c r="C10" s="520"/>
      <c r="D10" s="520"/>
      <c r="E10" s="520"/>
      <c r="F10" s="520"/>
      <c r="G10" s="520"/>
      <c r="H10" s="520"/>
      <c r="I10" s="374"/>
    </row>
    <row r="11" spans="1:9" ht="12">
      <c r="A11" s="540">
        <v>4011</v>
      </c>
      <c r="B11" s="728" t="s">
        <v>1159</v>
      </c>
      <c r="C11" s="520"/>
      <c r="D11" s="522">
        <v>100000</v>
      </c>
      <c r="E11" s="522">
        <v>100000</v>
      </c>
      <c r="F11" s="522">
        <v>100000</v>
      </c>
      <c r="G11" s="522">
        <v>100000</v>
      </c>
      <c r="H11" s="295">
        <f>SUM(G11/F11)</f>
        <v>1</v>
      </c>
      <c r="I11" s="374"/>
    </row>
    <row r="12" spans="1:9" ht="12">
      <c r="A12" s="540">
        <v>4012</v>
      </c>
      <c r="B12" s="728" t="s">
        <v>1165</v>
      </c>
      <c r="C12" s="520"/>
      <c r="D12" s="522">
        <v>300000</v>
      </c>
      <c r="E12" s="522">
        <v>300000</v>
      </c>
      <c r="F12" s="522">
        <v>300000</v>
      </c>
      <c r="G12" s="522">
        <f>SUM(G13:G14)</f>
        <v>300000</v>
      </c>
      <c r="H12" s="295">
        <f aca="true" t="shared" si="0" ref="H12:H77">SUM(G12/F12)</f>
        <v>1</v>
      </c>
      <c r="I12" s="374"/>
    </row>
    <row r="13" spans="1:9" ht="12">
      <c r="A13" s="540"/>
      <c r="B13" s="1125" t="s">
        <v>259</v>
      </c>
      <c r="C13" s="520"/>
      <c r="D13" s="522"/>
      <c r="E13" s="522"/>
      <c r="F13" s="522"/>
      <c r="G13" s="524">
        <v>1625</v>
      </c>
      <c r="H13" s="295"/>
      <c r="I13" s="374"/>
    </row>
    <row r="14" spans="1:9" ht="12">
      <c r="A14" s="540"/>
      <c r="B14" s="1125" t="s">
        <v>260</v>
      </c>
      <c r="C14" s="520"/>
      <c r="D14" s="522"/>
      <c r="E14" s="522"/>
      <c r="F14" s="522"/>
      <c r="G14" s="524">
        <v>298375</v>
      </c>
      <c r="H14" s="295"/>
      <c r="I14" s="374"/>
    </row>
    <row r="15" spans="1:9" ht="12">
      <c r="A15" s="540">
        <v>4013</v>
      </c>
      <c r="B15" s="728" t="s">
        <v>428</v>
      </c>
      <c r="C15" s="522">
        <v>6000</v>
      </c>
      <c r="D15" s="522">
        <v>6000</v>
      </c>
      <c r="E15" s="522">
        <v>6000</v>
      </c>
      <c r="F15" s="522"/>
      <c r="G15" s="522"/>
      <c r="H15" s="295"/>
      <c r="I15" s="374"/>
    </row>
    <row r="16" spans="1:9" ht="12">
      <c r="A16" s="521">
        <v>4014</v>
      </c>
      <c r="B16" s="293" t="s">
        <v>1160</v>
      </c>
      <c r="C16" s="522">
        <v>15000</v>
      </c>
      <c r="D16" s="522">
        <f>SUM(D17:D19)</f>
        <v>69886</v>
      </c>
      <c r="E16" s="522">
        <f>SUM(E17:E19)</f>
        <v>69886</v>
      </c>
      <c r="F16" s="522">
        <f>SUM(F17:F19)</f>
        <v>69886</v>
      </c>
      <c r="G16" s="522">
        <f>SUM(G17:G19)</f>
        <v>69886</v>
      </c>
      <c r="H16" s="295">
        <f t="shared" si="0"/>
        <v>1</v>
      </c>
      <c r="I16" s="525"/>
    </row>
    <row r="17" spans="1:9" ht="12">
      <c r="A17" s="521"/>
      <c r="B17" s="1125" t="s">
        <v>318</v>
      </c>
      <c r="C17" s="522"/>
      <c r="D17" s="524">
        <v>564</v>
      </c>
      <c r="E17" s="524">
        <v>564</v>
      </c>
      <c r="F17" s="524">
        <v>564</v>
      </c>
      <c r="G17" s="524">
        <v>564</v>
      </c>
      <c r="H17" s="295">
        <f t="shared" si="0"/>
        <v>1</v>
      </c>
      <c r="I17" s="525"/>
    </row>
    <row r="18" spans="1:9" ht="12">
      <c r="A18" s="521"/>
      <c r="B18" s="1125" t="s">
        <v>259</v>
      </c>
      <c r="C18" s="522"/>
      <c r="D18" s="524"/>
      <c r="E18" s="524"/>
      <c r="F18" s="524">
        <v>5846</v>
      </c>
      <c r="G18" s="524">
        <v>5846</v>
      </c>
      <c r="H18" s="295">
        <f t="shared" si="0"/>
        <v>1</v>
      </c>
      <c r="I18" s="525"/>
    </row>
    <row r="19" spans="1:9" ht="12">
      <c r="A19" s="521"/>
      <c r="B19" s="1125" t="s">
        <v>260</v>
      </c>
      <c r="C19" s="522"/>
      <c r="D19" s="524">
        <v>69322</v>
      </c>
      <c r="E19" s="524">
        <v>69322</v>
      </c>
      <c r="F19" s="524">
        <v>63476</v>
      </c>
      <c r="G19" s="524">
        <v>63476</v>
      </c>
      <c r="H19" s="295">
        <f t="shared" si="0"/>
        <v>1</v>
      </c>
      <c r="I19" s="525"/>
    </row>
    <row r="20" spans="1:9" ht="12">
      <c r="A20" s="521">
        <v>4018</v>
      </c>
      <c r="B20" s="293" t="s">
        <v>1135</v>
      </c>
      <c r="C20" s="522"/>
      <c r="D20" s="522">
        <v>54716</v>
      </c>
      <c r="E20" s="522">
        <v>54716</v>
      </c>
      <c r="F20" s="522">
        <v>54716</v>
      </c>
      <c r="G20" s="1225">
        <v>54716</v>
      </c>
      <c r="H20" s="295">
        <f t="shared" si="0"/>
        <v>1</v>
      </c>
      <c r="I20" s="525"/>
    </row>
    <row r="21" spans="1:9" ht="12">
      <c r="A21" s="521">
        <v>4019</v>
      </c>
      <c r="B21" s="293" t="s">
        <v>1161</v>
      </c>
      <c r="C21" s="767"/>
      <c r="D21" s="767">
        <v>100000</v>
      </c>
      <c r="E21" s="767">
        <v>100000</v>
      </c>
      <c r="F21" s="767">
        <v>100000</v>
      </c>
      <c r="G21" s="767">
        <v>100000</v>
      </c>
      <c r="H21" s="295">
        <f t="shared" si="0"/>
        <v>1</v>
      </c>
      <c r="I21" s="525"/>
    </row>
    <row r="22" spans="1:9" s="36" customFormat="1" ht="12">
      <c r="A22" s="466">
        <v>4010</v>
      </c>
      <c r="B22" s="526" t="s">
        <v>271</v>
      </c>
      <c r="C22" s="749">
        <f>SUM(C15:C16)</f>
        <v>21000</v>
      </c>
      <c r="D22" s="749">
        <f>SUM(D15+D16+D20+D11+D21+D12)</f>
        <v>630602</v>
      </c>
      <c r="E22" s="749">
        <f>SUM(E15+E16+E20+E11+E21+E12)</f>
        <v>630602</v>
      </c>
      <c r="F22" s="749">
        <f>SUM(F15+F16+F20+F11+F21+F12)</f>
        <v>624602</v>
      </c>
      <c r="G22" s="749">
        <f>SUM(G15+G16+G20+G11+G21+G12)</f>
        <v>624602</v>
      </c>
      <c r="H22" s="1094">
        <f t="shared" si="0"/>
        <v>1</v>
      </c>
      <c r="I22" s="527"/>
    </row>
    <row r="23" spans="1:9" s="36" customFormat="1" ht="12">
      <c r="A23" s="74"/>
      <c r="B23" s="528" t="s">
        <v>272</v>
      </c>
      <c r="C23" s="294"/>
      <c r="D23" s="294"/>
      <c r="E23" s="294"/>
      <c r="F23" s="294"/>
      <c r="G23" s="294"/>
      <c r="H23" s="295"/>
      <c r="I23" s="370"/>
    </row>
    <row r="24" spans="1:9" s="36" customFormat="1" ht="12">
      <c r="A24" s="466">
        <v>4030</v>
      </c>
      <c r="B24" s="526" t="s">
        <v>273</v>
      </c>
      <c r="C24" s="563"/>
      <c r="D24" s="563"/>
      <c r="E24" s="563"/>
      <c r="F24" s="563"/>
      <c r="G24" s="563"/>
      <c r="H24" s="836"/>
      <c r="I24" s="529"/>
    </row>
    <row r="25" spans="1:9" s="36" customFormat="1" ht="12.75">
      <c r="A25" s="74"/>
      <c r="B25" s="530" t="s">
        <v>277</v>
      </c>
      <c r="C25" s="531"/>
      <c r="D25" s="531"/>
      <c r="E25" s="531"/>
      <c r="F25" s="531"/>
      <c r="G25" s="531"/>
      <c r="H25" s="295"/>
      <c r="I25" s="532"/>
    </row>
    <row r="26" spans="1:9" s="36" customFormat="1" ht="12">
      <c r="A26" s="521">
        <v>4112</v>
      </c>
      <c r="B26" s="533" t="s">
        <v>248</v>
      </c>
      <c r="C26" s="294">
        <v>575000</v>
      </c>
      <c r="D26" s="294">
        <v>675000</v>
      </c>
      <c r="E26" s="294">
        <v>675000</v>
      </c>
      <c r="F26" s="294">
        <v>675000</v>
      </c>
      <c r="G26" s="1239">
        <v>675000</v>
      </c>
      <c r="H26" s="295">
        <f t="shared" si="0"/>
        <v>1</v>
      </c>
      <c r="I26" s="532"/>
    </row>
    <row r="27" spans="1:9" s="36" customFormat="1" ht="12">
      <c r="A27" s="521">
        <v>4114</v>
      </c>
      <c r="B27" s="533" t="s">
        <v>189</v>
      </c>
      <c r="C27" s="294">
        <v>144982</v>
      </c>
      <c r="D27" s="294">
        <v>144982</v>
      </c>
      <c r="E27" s="294">
        <v>144982</v>
      </c>
      <c r="F27" s="294">
        <v>144982</v>
      </c>
      <c r="G27" s="1239">
        <v>144982</v>
      </c>
      <c r="H27" s="295">
        <f t="shared" si="0"/>
        <v>1</v>
      </c>
      <c r="I27" s="525"/>
    </row>
    <row r="28" spans="1:9" s="36" customFormat="1" ht="12">
      <c r="A28" s="521">
        <v>4115</v>
      </c>
      <c r="B28" s="533" t="s">
        <v>427</v>
      </c>
      <c r="C28" s="294">
        <v>266001</v>
      </c>
      <c r="D28" s="294">
        <v>266001</v>
      </c>
      <c r="E28" s="294">
        <v>266001</v>
      </c>
      <c r="F28" s="294">
        <v>266001</v>
      </c>
      <c r="G28" s="1239">
        <v>266001</v>
      </c>
      <c r="H28" s="295">
        <f t="shared" si="0"/>
        <v>1</v>
      </c>
      <c r="I28" s="525"/>
    </row>
    <row r="29" spans="1:9" s="36" customFormat="1" ht="12">
      <c r="A29" s="521">
        <v>4120</v>
      </c>
      <c r="B29" s="293" t="s">
        <v>252</v>
      </c>
      <c r="C29" s="522">
        <v>856040</v>
      </c>
      <c r="D29" s="522">
        <f>SUM(D30:D31)</f>
        <v>859025</v>
      </c>
      <c r="E29" s="522">
        <f>SUM(E30:E31)</f>
        <v>859025</v>
      </c>
      <c r="F29" s="522">
        <f>SUM(F30:F31)</f>
        <v>859025</v>
      </c>
      <c r="G29" s="1225">
        <f>SUM(G30:G31)</f>
        <v>609025</v>
      </c>
      <c r="H29" s="295">
        <f t="shared" si="0"/>
        <v>0.7089723814790023</v>
      </c>
      <c r="I29" s="525"/>
    </row>
    <row r="30" spans="1:9" s="36" customFormat="1" ht="12">
      <c r="A30" s="521"/>
      <c r="B30" s="1125" t="s">
        <v>318</v>
      </c>
      <c r="C30" s="522"/>
      <c r="D30" s="524">
        <v>9</v>
      </c>
      <c r="E30" s="524">
        <v>9</v>
      </c>
      <c r="F30" s="524">
        <v>174</v>
      </c>
      <c r="G30" s="1226">
        <v>174</v>
      </c>
      <c r="H30" s="295">
        <f t="shared" si="0"/>
        <v>1</v>
      </c>
      <c r="I30" s="525"/>
    </row>
    <row r="31" spans="1:9" s="36" customFormat="1" ht="12">
      <c r="A31" s="521"/>
      <c r="B31" s="1125" t="s">
        <v>260</v>
      </c>
      <c r="C31" s="522"/>
      <c r="D31" s="524">
        <v>859016</v>
      </c>
      <c r="E31" s="524">
        <v>859016</v>
      </c>
      <c r="F31" s="524">
        <v>858851</v>
      </c>
      <c r="G31" s="1226">
        <v>608851</v>
      </c>
      <c r="H31" s="295">
        <f t="shared" si="0"/>
        <v>0.7089134203721018</v>
      </c>
      <c r="I31" s="525"/>
    </row>
    <row r="32" spans="1:9" s="33" customFormat="1" ht="12">
      <c r="A32" s="370">
        <v>4121</v>
      </c>
      <c r="B32" s="534" t="s">
        <v>132</v>
      </c>
      <c r="C32" s="375">
        <v>40000</v>
      </c>
      <c r="D32" s="375">
        <f>SUM(D33:D35)</f>
        <v>70658</v>
      </c>
      <c r="E32" s="375">
        <f>SUM(E33:E35)</f>
        <v>70658</v>
      </c>
      <c r="F32" s="375">
        <f>SUM(F33:F35)</f>
        <v>70658</v>
      </c>
      <c r="G32" s="1240">
        <f>SUM(G33:G35)</f>
        <v>70658</v>
      </c>
      <c r="H32" s="295">
        <f t="shared" si="0"/>
        <v>1</v>
      </c>
      <c r="I32" s="525"/>
    </row>
    <row r="33" spans="1:9" s="33" customFormat="1" ht="12">
      <c r="A33" s="370"/>
      <c r="B33" s="1125" t="s">
        <v>318</v>
      </c>
      <c r="C33" s="375"/>
      <c r="D33" s="524">
        <v>3962</v>
      </c>
      <c r="E33" s="524">
        <v>3962</v>
      </c>
      <c r="F33" s="524">
        <v>4343</v>
      </c>
      <c r="G33" s="524">
        <v>4343</v>
      </c>
      <c r="H33" s="295">
        <f t="shared" si="0"/>
        <v>1</v>
      </c>
      <c r="I33" s="525"/>
    </row>
    <row r="34" spans="1:9" s="33" customFormat="1" ht="12">
      <c r="A34" s="370"/>
      <c r="B34" s="1125" t="s">
        <v>259</v>
      </c>
      <c r="C34" s="375"/>
      <c r="D34" s="524"/>
      <c r="E34" s="524"/>
      <c r="F34" s="524"/>
      <c r="G34" s="524">
        <v>381</v>
      </c>
      <c r="H34" s="295"/>
      <c r="I34" s="525"/>
    </row>
    <row r="35" spans="1:9" s="33" customFormat="1" ht="12">
      <c r="A35" s="370"/>
      <c r="B35" s="1125" t="s">
        <v>260</v>
      </c>
      <c r="C35" s="375"/>
      <c r="D35" s="524">
        <v>66696</v>
      </c>
      <c r="E35" s="524">
        <v>66696</v>
      </c>
      <c r="F35" s="524">
        <v>66315</v>
      </c>
      <c r="G35" s="524">
        <v>65934</v>
      </c>
      <c r="H35" s="295">
        <f t="shared" si="0"/>
        <v>0.994254693508256</v>
      </c>
      <c r="I35" s="525"/>
    </row>
    <row r="36" spans="1:9" s="33" customFormat="1" ht="12">
      <c r="A36" s="370">
        <v>4122</v>
      </c>
      <c r="B36" s="535" t="s">
        <v>198</v>
      </c>
      <c r="C36" s="294">
        <v>170000</v>
      </c>
      <c r="D36" s="294">
        <v>190231</v>
      </c>
      <c r="E36" s="294">
        <v>190231</v>
      </c>
      <c r="F36" s="294">
        <f>SUM(F37:F38)</f>
        <v>190231</v>
      </c>
      <c r="G36" s="1239">
        <f>SUM(G37:G38)</f>
        <v>190231</v>
      </c>
      <c r="H36" s="295">
        <f t="shared" si="0"/>
        <v>1</v>
      </c>
      <c r="I36" s="525"/>
    </row>
    <row r="37" spans="1:9" s="33" customFormat="1" ht="12">
      <c r="A37" s="370"/>
      <c r="B37" s="1125" t="s">
        <v>318</v>
      </c>
      <c r="C37" s="294"/>
      <c r="D37" s="294"/>
      <c r="E37" s="294"/>
      <c r="F37" s="1127">
        <v>690</v>
      </c>
      <c r="G37" s="1127">
        <v>1280</v>
      </c>
      <c r="H37" s="295">
        <f t="shared" si="0"/>
        <v>1.855072463768116</v>
      </c>
      <c r="I37" s="525"/>
    </row>
    <row r="38" spans="1:9" s="33" customFormat="1" ht="12">
      <c r="A38" s="370"/>
      <c r="B38" s="1125" t="s">
        <v>260</v>
      </c>
      <c r="C38" s="294"/>
      <c r="D38" s="294"/>
      <c r="E38" s="294"/>
      <c r="F38" s="1127">
        <v>189541</v>
      </c>
      <c r="G38" s="1127">
        <v>188951</v>
      </c>
      <c r="H38" s="295">
        <f t="shared" si="0"/>
        <v>0.9968872170137332</v>
      </c>
      <c r="I38" s="525"/>
    </row>
    <row r="39" spans="1:9" s="33" customFormat="1" ht="12">
      <c r="A39" s="370">
        <v>4124</v>
      </c>
      <c r="B39" s="535" t="s">
        <v>1152</v>
      </c>
      <c r="C39" s="294"/>
      <c r="D39" s="294">
        <v>1143</v>
      </c>
      <c r="E39" s="294">
        <v>1143</v>
      </c>
      <c r="F39" s="294">
        <v>1143</v>
      </c>
      <c r="G39" s="1239">
        <v>1143</v>
      </c>
      <c r="H39" s="295">
        <f t="shared" si="0"/>
        <v>1</v>
      </c>
      <c r="I39" s="525"/>
    </row>
    <row r="40" spans="1:9" s="33" customFormat="1" ht="12">
      <c r="A40" s="444">
        <v>4125</v>
      </c>
      <c r="B40" s="533" t="s">
        <v>1118</v>
      </c>
      <c r="C40" s="536">
        <v>101939</v>
      </c>
      <c r="D40" s="536">
        <v>101939</v>
      </c>
      <c r="E40" s="536">
        <v>76939</v>
      </c>
      <c r="F40" s="536">
        <v>76939</v>
      </c>
      <c r="G40" s="1241">
        <v>76939</v>
      </c>
      <c r="H40" s="295">
        <f t="shared" si="0"/>
        <v>1</v>
      </c>
      <c r="I40" s="374"/>
    </row>
    <row r="41" spans="1:9" s="33" customFormat="1" ht="12">
      <c r="A41" s="537"/>
      <c r="B41" s="538" t="s">
        <v>155</v>
      </c>
      <c r="C41" s="391">
        <f>SUM(C26:C40)</f>
        <v>2153962</v>
      </c>
      <c r="D41" s="391">
        <f>SUM(D26:D29)+D36+D39+D40+D32</f>
        <v>2308979</v>
      </c>
      <c r="E41" s="391">
        <f>SUM(E26:E29)+E36+E39+E40+E32</f>
        <v>2283979</v>
      </c>
      <c r="F41" s="391">
        <f>SUM(F26:F29)+F36+F39+F40+F32</f>
        <v>2283979</v>
      </c>
      <c r="G41" s="391">
        <f>SUM(G26:G29)+G36+G39+G40+G32</f>
        <v>2033979</v>
      </c>
      <c r="H41" s="835">
        <f t="shared" si="0"/>
        <v>0.8905419007792978</v>
      </c>
      <c r="I41" s="371"/>
    </row>
    <row r="42" spans="1:9" s="33" customFormat="1" ht="12">
      <c r="A42" s="370">
        <v>4131</v>
      </c>
      <c r="B42" s="534" t="s">
        <v>303</v>
      </c>
      <c r="C42" s="294">
        <v>61000</v>
      </c>
      <c r="D42" s="294">
        <f>SUM(D43:D45)</f>
        <v>70179</v>
      </c>
      <c r="E42" s="294">
        <f>SUM(E43:E45)</f>
        <v>70179</v>
      </c>
      <c r="F42" s="294">
        <f>SUM(F43:F45)</f>
        <v>70179</v>
      </c>
      <c r="G42" s="1239">
        <f>SUM(G43:G45)</f>
        <v>70179</v>
      </c>
      <c r="H42" s="295">
        <f t="shared" si="0"/>
        <v>1</v>
      </c>
      <c r="I42" s="525"/>
    </row>
    <row r="43" spans="1:9" s="33" customFormat="1" ht="12">
      <c r="A43" s="370"/>
      <c r="B43" s="1125" t="s">
        <v>318</v>
      </c>
      <c r="C43" s="294"/>
      <c r="D43" s="1127">
        <v>879</v>
      </c>
      <c r="E43" s="1127">
        <v>879</v>
      </c>
      <c r="F43" s="1127">
        <v>1150</v>
      </c>
      <c r="G43" s="1127">
        <v>28603</v>
      </c>
      <c r="H43" s="295">
        <f t="shared" si="0"/>
        <v>24.87217391304348</v>
      </c>
      <c r="I43" s="525"/>
    </row>
    <row r="44" spans="1:9" s="33" customFormat="1" ht="12">
      <c r="A44" s="370"/>
      <c r="B44" s="1125" t="s">
        <v>259</v>
      </c>
      <c r="C44" s="294"/>
      <c r="D44" s="1127"/>
      <c r="E44" s="1127"/>
      <c r="F44" s="1127"/>
      <c r="G44" s="1127">
        <v>10637</v>
      </c>
      <c r="H44" s="295"/>
      <c r="I44" s="525"/>
    </row>
    <row r="45" spans="1:9" s="33" customFormat="1" ht="12">
      <c r="A45" s="370"/>
      <c r="B45" s="1125" t="s">
        <v>260</v>
      </c>
      <c r="C45" s="294"/>
      <c r="D45" s="1127">
        <v>69300</v>
      </c>
      <c r="E45" s="1127">
        <v>69300</v>
      </c>
      <c r="F45" s="1127">
        <v>69029</v>
      </c>
      <c r="G45" s="1127">
        <v>30939</v>
      </c>
      <c r="H45" s="295">
        <f t="shared" si="0"/>
        <v>0.448202929203668</v>
      </c>
      <c r="I45" s="525"/>
    </row>
    <row r="46" spans="1:9" s="33" customFormat="1" ht="12" customHeight="1">
      <c r="A46" s="370">
        <v>4132</v>
      </c>
      <c r="B46" s="534" t="s">
        <v>129</v>
      </c>
      <c r="C46" s="294">
        <v>40000</v>
      </c>
      <c r="D46" s="294">
        <v>50874</v>
      </c>
      <c r="E46" s="294">
        <v>50874</v>
      </c>
      <c r="F46" s="294">
        <v>50874</v>
      </c>
      <c r="G46" s="294">
        <v>50874</v>
      </c>
      <c r="H46" s="295">
        <f t="shared" si="0"/>
        <v>1</v>
      </c>
      <c r="I46" s="525"/>
    </row>
    <row r="47" spans="1:9" s="33" customFormat="1" ht="12.75" customHeight="1">
      <c r="A47" s="292">
        <v>4133</v>
      </c>
      <c r="B47" s="296" t="s">
        <v>304</v>
      </c>
      <c r="C47" s="294">
        <v>150000</v>
      </c>
      <c r="D47" s="294">
        <v>180562</v>
      </c>
      <c r="E47" s="294">
        <v>180562</v>
      </c>
      <c r="F47" s="294">
        <v>180562</v>
      </c>
      <c r="G47" s="1239">
        <v>180562</v>
      </c>
      <c r="H47" s="295">
        <f t="shared" si="0"/>
        <v>1</v>
      </c>
      <c r="I47" s="525"/>
    </row>
    <row r="48" spans="1:9" s="33" customFormat="1" ht="12">
      <c r="A48" s="292">
        <v>4136</v>
      </c>
      <c r="B48" s="296" t="s">
        <v>419</v>
      </c>
      <c r="C48" s="294">
        <v>51200</v>
      </c>
      <c r="D48" s="294">
        <f>SUM(D49:D51)</f>
        <v>139544</v>
      </c>
      <c r="E48" s="294">
        <f>SUM(E49:E51)</f>
        <v>139544</v>
      </c>
      <c r="F48" s="294">
        <f>SUM(F49:F51)</f>
        <v>139544</v>
      </c>
      <c r="G48" s="1239">
        <f>SUM(G49:G51)</f>
        <v>139544</v>
      </c>
      <c r="H48" s="295">
        <f t="shared" si="0"/>
        <v>1</v>
      </c>
      <c r="I48" s="525"/>
    </row>
    <row r="49" spans="1:9" s="33" customFormat="1" ht="12">
      <c r="A49" s="292"/>
      <c r="B49" s="1125" t="s">
        <v>318</v>
      </c>
      <c r="C49" s="294"/>
      <c r="D49" s="1127">
        <v>471</v>
      </c>
      <c r="E49" s="1127">
        <v>471</v>
      </c>
      <c r="F49" s="1127">
        <v>1164</v>
      </c>
      <c r="G49" s="1127">
        <v>1164</v>
      </c>
      <c r="H49" s="295">
        <f t="shared" si="0"/>
        <v>1</v>
      </c>
      <c r="I49" s="525"/>
    </row>
    <row r="50" spans="1:9" s="33" customFormat="1" ht="12">
      <c r="A50" s="292"/>
      <c r="B50" s="1125" t="s">
        <v>259</v>
      </c>
      <c r="C50" s="294"/>
      <c r="D50" s="1127"/>
      <c r="E50" s="1127"/>
      <c r="F50" s="1127">
        <v>373</v>
      </c>
      <c r="G50" s="1127">
        <v>373</v>
      </c>
      <c r="H50" s="295">
        <f t="shared" si="0"/>
        <v>1</v>
      </c>
      <c r="I50" s="525"/>
    </row>
    <row r="51" spans="1:9" s="33" customFormat="1" ht="12">
      <c r="A51" s="292"/>
      <c r="B51" s="1125" t="s">
        <v>260</v>
      </c>
      <c r="C51" s="294"/>
      <c r="D51" s="1127">
        <v>139073</v>
      </c>
      <c r="E51" s="1127">
        <v>139073</v>
      </c>
      <c r="F51" s="1127">
        <v>138007</v>
      </c>
      <c r="G51" s="1127">
        <v>138007</v>
      </c>
      <c r="H51" s="295">
        <f t="shared" si="0"/>
        <v>1</v>
      </c>
      <c r="I51" s="525"/>
    </row>
    <row r="52" spans="1:9" s="33" customFormat="1" ht="12">
      <c r="A52" s="292">
        <v>4137</v>
      </c>
      <c r="B52" s="296" t="s">
        <v>1136</v>
      </c>
      <c r="C52" s="294"/>
      <c r="D52" s="294">
        <v>4000</v>
      </c>
      <c r="E52" s="294">
        <v>4000</v>
      </c>
      <c r="F52" s="294">
        <v>4000</v>
      </c>
      <c r="G52" s="1239">
        <v>4000</v>
      </c>
      <c r="H52" s="295">
        <f t="shared" si="0"/>
        <v>1</v>
      </c>
      <c r="I52" s="525"/>
    </row>
    <row r="53" spans="1:9" s="33" customFormat="1" ht="12">
      <c r="A53" s="292">
        <v>4141</v>
      </c>
      <c r="B53" s="293" t="s">
        <v>404</v>
      </c>
      <c r="C53" s="294">
        <v>30000</v>
      </c>
      <c r="D53" s="294">
        <f>SUM(D55:D56)</f>
        <v>70640</v>
      </c>
      <c r="E53" s="294">
        <f>SUM(E55:E56)</f>
        <v>70640</v>
      </c>
      <c r="F53" s="294">
        <f>SUM(F54:F56)</f>
        <v>70640</v>
      </c>
      <c r="G53" s="1239">
        <f>SUM(G54:G56)</f>
        <v>70640</v>
      </c>
      <c r="H53" s="295">
        <f t="shared" si="0"/>
        <v>1</v>
      </c>
      <c r="I53" s="296"/>
    </row>
    <row r="54" spans="1:9" s="33" customFormat="1" ht="12">
      <c r="A54" s="292"/>
      <c r="B54" s="1128" t="s">
        <v>318</v>
      </c>
      <c r="C54" s="294"/>
      <c r="D54" s="294"/>
      <c r="E54" s="294"/>
      <c r="F54" s="1127">
        <v>191</v>
      </c>
      <c r="G54" s="1127">
        <v>191</v>
      </c>
      <c r="H54" s="295">
        <f t="shared" si="0"/>
        <v>1</v>
      </c>
      <c r="I54" s="296"/>
    </row>
    <row r="55" spans="1:9" s="33" customFormat="1" ht="12">
      <c r="A55" s="292"/>
      <c r="B55" s="1128" t="s">
        <v>259</v>
      </c>
      <c r="C55" s="294"/>
      <c r="D55" s="1127">
        <v>39944</v>
      </c>
      <c r="E55" s="1127">
        <v>39944</v>
      </c>
      <c r="F55" s="1127">
        <v>69850</v>
      </c>
      <c r="G55" s="1127">
        <v>69850</v>
      </c>
      <c r="H55" s="295">
        <f t="shared" si="0"/>
        <v>1</v>
      </c>
      <c r="I55" s="296"/>
    </row>
    <row r="56" spans="1:9" s="33" customFormat="1" ht="12">
      <c r="A56" s="292"/>
      <c r="B56" s="1129" t="s">
        <v>260</v>
      </c>
      <c r="C56" s="294"/>
      <c r="D56" s="1127">
        <v>30696</v>
      </c>
      <c r="E56" s="1127">
        <v>30696</v>
      </c>
      <c r="F56" s="1127">
        <v>599</v>
      </c>
      <c r="G56" s="1127">
        <v>599</v>
      </c>
      <c r="H56" s="295">
        <f t="shared" si="0"/>
        <v>1</v>
      </c>
      <c r="I56" s="296"/>
    </row>
    <row r="57" spans="1:9" s="33" customFormat="1" ht="12">
      <c r="A57" s="466">
        <v>4100</v>
      </c>
      <c r="B57" s="790" t="s">
        <v>184</v>
      </c>
      <c r="C57" s="385">
        <f>SUM(C42:C53)+C41</f>
        <v>2486162</v>
      </c>
      <c r="D57" s="385">
        <f>SUM(D41+D42+D46+D47+D48+D52+D53)</f>
        <v>2824778</v>
      </c>
      <c r="E57" s="385">
        <f>SUM(E41+E42+E46+E47+E48+E52+E53)</f>
        <v>2799778</v>
      </c>
      <c r="F57" s="385">
        <f>SUM(F41+F42+F46+F47+F48+F52+F53)</f>
        <v>2799778</v>
      </c>
      <c r="G57" s="385">
        <f>SUM(G41+G42+G46+G47+G48+G52+G53)</f>
        <v>2549778</v>
      </c>
      <c r="H57" s="1094">
        <f t="shared" si="0"/>
        <v>0.9107072060713385</v>
      </c>
      <c r="I57" s="518"/>
    </row>
    <row r="58" spans="1:9" s="33" customFormat="1" ht="12">
      <c r="A58" s="498"/>
      <c r="B58" s="539" t="s">
        <v>131</v>
      </c>
      <c r="C58" s="294"/>
      <c r="D58" s="294"/>
      <c r="E58" s="294"/>
      <c r="F58" s="294"/>
      <c r="G58" s="294"/>
      <c r="H58" s="295"/>
      <c r="I58" s="374"/>
    </row>
    <row r="59" spans="1:9" s="33" customFormat="1" ht="12">
      <c r="A59" s="521">
        <v>4211</v>
      </c>
      <c r="B59" s="293" t="s">
        <v>133</v>
      </c>
      <c r="C59" s="294"/>
      <c r="D59" s="294"/>
      <c r="E59" s="294"/>
      <c r="F59" s="294">
        <v>6090</v>
      </c>
      <c r="G59" s="1239">
        <v>6584</v>
      </c>
      <c r="H59" s="295">
        <f t="shared" si="0"/>
        <v>1.0811165845648605</v>
      </c>
      <c r="I59" s="374"/>
    </row>
    <row r="60" spans="1:9" s="33" customFormat="1" ht="12">
      <c r="A60" s="521">
        <v>4213</v>
      </c>
      <c r="B60" s="293" t="s">
        <v>135</v>
      </c>
      <c r="C60" s="294"/>
      <c r="D60" s="294"/>
      <c r="E60" s="294"/>
      <c r="F60" s="294">
        <v>19201</v>
      </c>
      <c r="G60" s="1239">
        <v>19201</v>
      </c>
      <c r="H60" s="295">
        <f t="shared" si="0"/>
        <v>1</v>
      </c>
      <c r="I60" s="374"/>
    </row>
    <row r="61" spans="1:9" s="33" customFormat="1" ht="12">
      <c r="A61" s="521">
        <v>4215</v>
      </c>
      <c r="B61" s="293" t="s">
        <v>278</v>
      </c>
      <c r="C61" s="294"/>
      <c r="D61" s="294"/>
      <c r="E61" s="294"/>
      <c r="F61" s="294"/>
      <c r="G61" s="294"/>
      <c r="H61" s="295"/>
      <c r="I61" s="374"/>
    </row>
    <row r="62" spans="1:9" s="33" customFormat="1" ht="12">
      <c r="A62" s="521">
        <v>4217</v>
      </c>
      <c r="B62" s="293" t="s">
        <v>46</v>
      </c>
      <c r="C62" s="294"/>
      <c r="D62" s="294"/>
      <c r="E62" s="294"/>
      <c r="F62" s="294"/>
      <c r="G62" s="294"/>
      <c r="H62" s="295"/>
      <c r="I62" s="374"/>
    </row>
    <row r="63" spans="1:9" s="33" customFormat="1" ht="12">
      <c r="A63" s="1195">
        <v>4219</v>
      </c>
      <c r="B63" s="1196" t="s">
        <v>136</v>
      </c>
      <c r="C63" s="1197"/>
      <c r="D63" s="1197"/>
      <c r="E63" s="1197"/>
      <c r="F63" s="1197"/>
      <c r="G63" s="1197"/>
      <c r="H63" s="1198"/>
      <c r="I63" s="371"/>
    </row>
    <row r="64" spans="1:9" s="33" customFormat="1" ht="12">
      <c r="A64" s="521">
        <v>4221</v>
      </c>
      <c r="B64" s="293" t="s">
        <v>134</v>
      </c>
      <c r="C64" s="294"/>
      <c r="D64" s="294"/>
      <c r="E64" s="294"/>
      <c r="F64" s="294"/>
      <c r="G64" s="294"/>
      <c r="H64" s="295"/>
      <c r="I64" s="374"/>
    </row>
    <row r="65" spans="1:9" s="33" customFormat="1" ht="12">
      <c r="A65" s="521">
        <v>4223</v>
      </c>
      <c r="B65" s="293" t="s">
        <v>137</v>
      </c>
      <c r="C65" s="294"/>
      <c r="D65" s="294"/>
      <c r="E65" s="294"/>
      <c r="F65" s="294"/>
      <c r="G65" s="294"/>
      <c r="H65" s="295"/>
      <c r="I65" s="374"/>
    </row>
    <row r="66" spans="1:9" s="33" customFormat="1" ht="12">
      <c r="A66" s="521">
        <v>4225</v>
      </c>
      <c r="B66" s="293" t="s">
        <v>138</v>
      </c>
      <c r="C66" s="294"/>
      <c r="D66" s="294"/>
      <c r="E66" s="294"/>
      <c r="F66" s="294">
        <v>109380</v>
      </c>
      <c r="G66" s="1239">
        <v>110013</v>
      </c>
      <c r="H66" s="295">
        <f t="shared" si="0"/>
        <v>1.0057871640153593</v>
      </c>
      <c r="I66" s="374"/>
    </row>
    <row r="67" spans="1:9" s="33" customFormat="1" ht="12">
      <c r="A67" s="521">
        <v>4227</v>
      </c>
      <c r="B67" s="293" t="s">
        <v>139</v>
      </c>
      <c r="C67" s="294"/>
      <c r="D67" s="294"/>
      <c r="E67" s="294"/>
      <c r="F67" s="294"/>
      <c r="G67" s="294"/>
      <c r="H67" s="295"/>
      <c r="I67" s="374"/>
    </row>
    <row r="68" spans="1:9" s="33" customFormat="1" ht="12">
      <c r="A68" s="540">
        <v>4265</v>
      </c>
      <c r="B68" s="541" t="s">
        <v>1105</v>
      </c>
      <c r="C68" s="588">
        <v>250000</v>
      </c>
      <c r="D68" s="588">
        <v>258000</v>
      </c>
      <c r="E68" s="588">
        <v>258000</v>
      </c>
      <c r="F68" s="588">
        <v>25964</v>
      </c>
      <c r="G68" s="1242">
        <v>24837</v>
      </c>
      <c r="H68" s="295">
        <f t="shared" si="0"/>
        <v>0.9565937451856417</v>
      </c>
      <c r="I68" s="589"/>
    </row>
    <row r="69" spans="1:9" s="33" customFormat="1" ht="12.75" thickBot="1">
      <c r="A69" s="361">
        <v>4200</v>
      </c>
      <c r="B69" s="1126" t="s">
        <v>1133</v>
      </c>
      <c r="C69" s="772">
        <f>SUM(C59:C68)</f>
        <v>250000</v>
      </c>
      <c r="D69" s="772">
        <f>SUM(D59:D68)</f>
        <v>258000</v>
      </c>
      <c r="E69" s="772">
        <f>SUM(E59:E68)</f>
        <v>258000</v>
      </c>
      <c r="F69" s="772">
        <f>SUM(F59:F68)</f>
        <v>160635</v>
      </c>
      <c r="G69" s="772">
        <f>SUM(G59+G60+G66+G68)</f>
        <v>160635</v>
      </c>
      <c r="H69" s="1207">
        <f t="shared" si="0"/>
        <v>1</v>
      </c>
      <c r="I69" s="1096"/>
    </row>
    <row r="70" spans="1:9" s="36" customFormat="1" ht="12">
      <c r="A70" s="74"/>
      <c r="B70" s="528" t="s">
        <v>279</v>
      </c>
      <c r="C70" s="294"/>
      <c r="D70" s="294"/>
      <c r="E70" s="294"/>
      <c r="F70" s="294"/>
      <c r="G70" s="294"/>
      <c r="H70" s="295"/>
      <c r="I70" s="532"/>
    </row>
    <row r="71" spans="1:9" s="33" customFormat="1" ht="12">
      <c r="A71" s="370">
        <v>4310</v>
      </c>
      <c r="B71" s="296" t="s">
        <v>392</v>
      </c>
      <c r="C71" s="294">
        <v>25000</v>
      </c>
      <c r="D71" s="294">
        <v>77015</v>
      </c>
      <c r="E71" s="294">
        <v>257015</v>
      </c>
      <c r="F71" s="294">
        <v>257015</v>
      </c>
      <c r="G71" s="1239">
        <v>257015</v>
      </c>
      <c r="H71" s="295">
        <f t="shared" si="0"/>
        <v>1</v>
      </c>
      <c r="I71" s="525"/>
    </row>
    <row r="72" spans="1:9" s="33" customFormat="1" ht="12">
      <c r="A72" s="370">
        <v>4311</v>
      </c>
      <c r="B72" s="296" t="s">
        <v>1120</v>
      </c>
      <c r="C72" s="294">
        <v>120000</v>
      </c>
      <c r="D72" s="294">
        <v>120000</v>
      </c>
      <c r="E72" s="294"/>
      <c r="F72" s="294"/>
      <c r="G72" s="294"/>
      <c r="H72" s="295"/>
      <c r="I72" s="525"/>
    </row>
    <row r="73" spans="1:9" s="33" customFormat="1" ht="12">
      <c r="A73" s="370">
        <v>4321</v>
      </c>
      <c r="B73" s="296" t="s">
        <v>432</v>
      </c>
      <c r="C73" s="294"/>
      <c r="D73" s="294">
        <v>2996</v>
      </c>
      <c r="E73" s="294">
        <v>2996</v>
      </c>
      <c r="F73" s="294">
        <v>12229</v>
      </c>
      <c r="G73" s="1239">
        <v>12229</v>
      </c>
      <c r="H73" s="295">
        <f t="shared" si="0"/>
        <v>1</v>
      </c>
      <c r="I73" s="525"/>
    </row>
    <row r="74" spans="1:9" s="33" customFormat="1" ht="12">
      <c r="A74" s="370">
        <v>4322</v>
      </c>
      <c r="B74" s="296" t="s">
        <v>436</v>
      </c>
      <c r="C74" s="294"/>
      <c r="D74" s="294"/>
      <c r="E74" s="294"/>
      <c r="F74" s="294">
        <v>56539</v>
      </c>
      <c r="G74" s="1239">
        <v>56539</v>
      </c>
      <c r="H74" s="295">
        <f t="shared" si="0"/>
        <v>1</v>
      </c>
      <c r="I74" s="525"/>
    </row>
    <row r="75" spans="1:9" s="33" customFormat="1" ht="12">
      <c r="A75" s="370">
        <v>4323</v>
      </c>
      <c r="B75" s="296" t="s">
        <v>435</v>
      </c>
      <c r="C75" s="294"/>
      <c r="D75" s="294"/>
      <c r="E75" s="294"/>
      <c r="F75" s="294">
        <v>31593</v>
      </c>
      <c r="G75" s="1239">
        <v>31593</v>
      </c>
      <c r="H75" s="295">
        <f t="shared" si="0"/>
        <v>1</v>
      </c>
      <c r="I75" s="525"/>
    </row>
    <row r="76" spans="1:9" s="36" customFormat="1" ht="12">
      <c r="A76" s="518">
        <v>4300</v>
      </c>
      <c r="B76" s="539" t="s">
        <v>280</v>
      </c>
      <c r="C76" s="307">
        <f>SUM(C71:C75)</f>
        <v>145000</v>
      </c>
      <c r="D76" s="307">
        <f>SUM(D71:D75)</f>
        <v>200011</v>
      </c>
      <c r="E76" s="307">
        <f>SUM(E71:E75)</f>
        <v>260011</v>
      </c>
      <c r="F76" s="307">
        <f>SUM(F71:F75)</f>
        <v>357376</v>
      </c>
      <c r="G76" s="307">
        <f>SUM(G71+G73+G74+G75)</f>
        <v>357376</v>
      </c>
      <c r="H76" s="1094">
        <f t="shared" si="0"/>
        <v>1</v>
      </c>
      <c r="I76" s="462"/>
    </row>
    <row r="77" spans="1:9" s="36" customFormat="1" ht="16.5" customHeight="1">
      <c r="A77" s="518"/>
      <c r="B77" s="517" t="s">
        <v>282</v>
      </c>
      <c r="C77" s="307">
        <f>SUM(C76+C69+C57+C24+C22)</f>
        <v>2902162</v>
      </c>
      <c r="D77" s="307">
        <f>SUM(D76+D69+D57+D24+D22)</f>
        <v>3913391</v>
      </c>
      <c r="E77" s="307">
        <f>SUM(E76+E69+E57+E24+E22)</f>
        <v>3948391</v>
      </c>
      <c r="F77" s="307">
        <f>SUM(F76+F69+F57+F24+F22)</f>
        <v>3942391</v>
      </c>
      <c r="G77" s="307">
        <f>SUM(G76+G69+G57+G24+G22)</f>
        <v>3692391</v>
      </c>
      <c r="H77" s="1094">
        <f t="shared" si="0"/>
        <v>0.9365867058848298</v>
      </c>
      <c r="I77" s="462"/>
    </row>
    <row r="78" spans="1:9" s="36" customFormat="1" ht="12">
      <c r="A78" s="543"/>
      <c r="B78" s="544" t="s">
        <v>75</v>
      </c>
      <c r="C78" s="520"/>
      <c r="D78" s="520"/>
      <c r="E78" s="520"/>
      <c r="F78" s="520"/>
      <c r="G78" s="520"/>
      <c r="H78" s="295"/>
      <c r="I78" s="532"/>
    </row>
    <row r="79" spans="1:9" s="36" customFormat="1" ht="12">
      <c r="A79" s="543"/>
      <c r="B79" s="294" t="s">
        <v>298</v>
      </c>
      <c r="C79" s="522"/>
      <c r="D79" s="522"/>
      <c r="E79" s="522"/>
      <c r="F79" s="522"/>
      <c r="G79" s="522"/>
      <c r="H79" s="295"/>
      <c r="I79" s="532"/>
    </row>
    <row r="80" spans="1:9" s="36" customFormat="1" ht="12">
      <c r="A80" s="543"/>
      <c r="B80" s="294" t="s">
        <v>32</v>
      </c>
      <c r="C80" s="522"/>
      <c r="D80" s="522"/>
      <c r="E80" s="522"/>
      <c r="F80" s="522"/>
      <c r="G80" s="522"/>
      <c r="H80" s="295"/>
      <c r="I80" s="532"/>
    </row>
    <row r="81" spans="1:9" s="33" customFormat="1" ht="12">
      <c r="A81" s="543"/>
      <c r="B81" s="545" t="s">
        <v>311</v>
      </c>
      <c r="C81" s="522"/>
      <c r="D81" s="522">
        <f>SUM(D17+D33+D43+D39+D30+D49)</f>
        <v>7028</v>
      </c>
      <c r="E81" s="522">
        <f>SUM(E17+E33+E43+E39+E30+E49)</f>
        <v>7028</v>
      </c>
      <c r="F81" s="522">
        <f>SUM(F17+F33+F43+F39+F30+F49+F37+F54)</f>
        <v>9419</v>
      </c>
      <c r="G81" s="522">
        <f>SUM(G17+G33+G43+G39+G30+G49+G37+G54)</f>
        <v>37462</v>
      </c>
      <c r="H81" s="295">
        <f aca="true" t="shared" si="1" ref="H81:H89">SUM(G81/F81)</f>
        <v>3.9772799660261176</v>
      </c>
      <c r="I81" s="374"/>
    </row>
    <row r="82" spans="1:9" ht="12" customHeight="1">
      <c r="A82" s="292"/>
      <c r="B82" s="545" t="s">
        <v>308</v>
      </c>
      <c r="C82" s="294"/>
      <c r="D82" s="294"/>
      <c r="E82" s="294"/>
      <c r="F82" s="294"/>
      <c r="G82" s="294"/>
      <c r="H82" s="295"/>
      <c r="I82" s="374"/>
    </row>
    <row r="83" spans="1:9" ht="12" customHeight="1">
      <c r="A83" s="292"/>
      <c r="B83" s="546" t="s">
        <v>65</v>
      </c>
      <c r="C83" s="546">
        <f>SUM(C79:C82)</f>
        <v>0</v>
      </c>
      <c r="D83" s="546">
        <f>SUM(D79:D82)</f>
        <v>7028</v>
      </c>
      <c r="E83" s="546">
        <f>SUM(E79:E82)</f>
        <v>7028</v>
      </c>
      <c r="F83" s="546">
        <f>SUM(F79:F82)</f>
        <v>9419</v>
      </c>
      <c r="G83" s="546">
        <f>SUM(G79:G82)</f>
        <v>37462</v>
      </c>
      <c r="H83" s="1095">
        <f t="shared" si="1"/>
        <v>3.9772799660261176</v>
      </c>
      <c r="I83" s="374"/>
    </row>
    <row r="84" spans="1:9" ht="12" customHeight="1">
      <c r="A84" s="292"/>
      <c r="B84" s="547" t="s">
        <v>76</v>
      </c>
      <c r="C84" s="531"/>
      <c r="D84" s="531"/>
      <c r="E84" s="531"/>
      <c r="F84" s="531"/>
      <c r="G84" s="531"/>
      <c r="H84" s="295"/>
      <c r="I84" s="374"/>
    </row>
    <row r="85" spans="1:9" ht="12" customHeight="1">
      <c r="A85" s="292"/>
      <c r="B85" s="294" t="s">
        <v>261</v>
      </c>
      <c r="C85" s="294"/>
      <c r="D85" s="294">
        <f>SUM(D55)</f>
        <v>39944</v>
      </c>
      <c r="E85" s="294">
        <f>SUM(E55)</f>
        <v>39944</v>
      </c>
      <c r="F85" s="294">
        <f>SUM(F55+F18+F50)</f>
        <v>76069</v>
      </c>
      <c r="G85" s="294">
        <f>SUM(G55+G18+G50+G13+G44+G34)</f>
        <v>88712</v>
      </c>
      <c r="H85" s="295">
        <f t="shared" si="1"/>
        <v>1.1662043670877755</v>
      </c>
      <c r="I85" s="374"/>
    </row>
    <row r="86" spans="1:9" ht="12">
      <c r="A86" s="292"/>
      <c r="B86" s="545" t="s">
        <v>262</v>
      </c>
      <c r="C86" s="294">
        <f>SUM(C22+C24+C57+C69+C76)-C79-C80-C81-C82-C85-C87</f>
        <v>2862162</v>
      </c>
      <c r="D86" s="294">
        <f>SUM(D22+D24+D57+D69+D76)-D79-D80-D81-D82-D85-D87</f>
        <v>3815545</v>
      </c>
      <c r="E86" s="294">
        <f>SUM(E22+E24+E57+E69+E76)-E79-E80-E81-E82-E85-E87</f>
        <v>3850545</v>
      </c>
      <c r="F86" s="294">
        <f>SUM(F22+F24+F57+F69+F76)-F79-F80-F81-F82-F85-F87</f>
        <v>3806029</v>
      </c>
      <c r="G86" s="294">
        <f>SUM(G22+G24+G57+G69+G76)-G79-G80-G81-G82-G85-G87</f>
        <v>3515343</v>
      </c>
      <c r="H86" s="295">
        <f t="shared" si="1"/>
        <v>0.9236248594007035</v>
      </c>
      <c r="I86" s="374"/>
    </row>
    <row r="87" spans="1:9" ht="12">
      <c r="A87" s="292"/>
      <c r="B87" s="545" t="s">
        <v>342</v>
      </c>
      <c r="C87" s="294">
        <f>SUM(C46)</f>
        <v>40000</v>
      </c>
      <c r="D87" s="294">
        <f>SUM(D46)</f>
        <v>50874</v>
      </c>
      <c r="E87" s="294">
        <f>SUM(E46)</f>
        <v>50874</v>
      </c>
      <c r="F87" s="294">
        <f>SUM(F46)</f>
        <v>50874</v>
      </c>
      <c r="G87" s="294">
        <f>SUM(G46)</f>
        <v>50874</v>
      </c>
      <c r="H87" s="295">
        <f t="shared" si="1"/>
        <v>1</v>
      </c>
      <c r="I87" s="374"/>
    </row>
    <row r="88" spans="1:9" ht="12">
      <c r="A88" s="292"/>
      <c r="B88" s="546" t="s">
        <v>71</v>
      </c>
      <c r="C88" s="546">
        <f>SUM(C85:C87)</f>
        <v>2902162</v>
      </c>
      <c r="D88" s="546">
        <f>SUM(D85:D87)</f>
        <v>3906363</v>
      </c>
      <c r="E88" s="546">
        <f>SUM(E85:E87)</f>
        <v>3941363</v>
      </c>
      <c r="F88" s="546">
        <f>SUM(F85:F87)</f>
        <v>3932972</v>
      </c>
      <c r="G88" s="546">
        <f>SUM(G85:G87)</f>
        <v>3654929</v>
      </c>
      <c r="H88" s="1095">
        <f t="shared" si="1"/>
        <v>0.9293046073046033</v>
      </c>
      <c r="I88" s="374"/>
    </row>
    <row r="89" spans="1:9" ht="12" customHeight="1">
      <c r="A89" s="548"/>
      <c r="B89" s="542" t="s">
        <v>117</v>
      </c>
      <c r="C89" s="303">
        <f>SUM(C83+C88)</f>
        <v>2902162</v>
      </c>
      <c r="D89" s="303">
        <f>SUM(D83+D88)</f>
        <v>3913391</v>
      </c>
      <c r="E89" s="303">
        <f>SUM(E83+E88)</f>
        <v>3948391</v>
      </c>
      <c r="F89" s="303">
        <f>SUM(F83+F88)</f>
        <v>3942391</v>
      </c>
      <c r="G89" s="303">
        <f>SUM(G83+G88)</f>
        <v>3692391</v>
      </c>
      <c r="H89" s="1095">
        <f t="shared" si="1"/>
        <v>0.9365867058848298</v>
      </c>
      <c r="I89" s="371"/>
    </row>
    <row r="90" spans="1:8" ht="12">
      <c r="A90" s="32"/>
      <c r="C90" s="274"/>
      <c r="D90" s="274"/>
      <c r="E90" s="274"/>
      <c r="F90" s="274"/>
      <c r="G90" s="274"/>
      <c r="H90" s="273"/>
    </row>
    <row r="91" spans="2:7" ht="12">
      <c r="B91" s="40" t="s">
        <v>1153</v>
      </c>
      <c r="C91" s="222"/>
      <c r="D91" s="222"/>
      <c r="E91" s="222"/>
      <c r="F91" s="222"/>
      <c r="G91" s="222"/>
    </row>
  </sheetData>
  <sheetProtection/>
  <mergeCells count="9">
    <mergeCell ref="C3:I3"/>
    <mergeCell ref="A1:I1"/>
    <mergeCell ref="A2:I2"/>
    <mergeCell ref="H5:H7"/>
    <mergeCell ref="C5:C7"/>
    <mergeCell ref="D5:D7"/>
    <mergeCell ref="E5:E7"/>
    <mergeCell ref="F5:F7"/>
    <mergeCell ref="G5:G7"/>
  </mergeCells>
  <printOptions horizontalCentered="1"/>
  <pageMargins left="0" right="0" top="0.3937007874015748" bottom="0.1968503937007874" header="0.11811023622047245" footer="0"/>
  <pageSetup firstPageNumber="44" useFirstPageNumber="1" horizontalDpi="600" verticalDpi="600" orientation="landscape" paperSize="9" scale="70" r:id="rId1"/>
  <headerFooter alignWithMargins="0">
    <oddFooter>&amp;C&amp;P. oldal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2019-01-22T11:59:07Z</cp:lastPrinted>
  <dcterms:created xsi:type="dcterms:W3CDTF">2004-02-02T11:10:51Z</dcterms:created>
  <dcterms:modified xsi:type="dcterms:W3CDTF">2019-01-25T09:58:37Z</dcterms:modified>
  <cp:category/>
  <cp:version/>
  <cp:contentType/>
  <cp:contentStatus/>
</cp:coreProperties>
</file>